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3.xml" ContentType="application/vnd.openxmlformats-officedocument.drawingml.chart+xml"/>
  <Override PartName="/xl/charts/style3.xml" ContentType="application/vnd.ms-office.chartstyle+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charts/colors3.xml" ContentType="application/vnd.ms-office.chartcolorsty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charts/chart1.xml" ContentType="application/vnd.openxmlformats-officedocument.drawingml.chart+xml"/>
  <Override PartName="/xl/worksheets/sheet5.xml" ContentType="application/vnd.openxmlformats-officedocument.spreadsheetml.worksheet+xml"/>
  <Override PartName="/xl/charts/colors2.xml" ContentType="application/vnd.ms-office.chartcolorstyle+xml"/>
  <Override PartName="/xl/charts/style1.xml" ContentType="application/vnd.ms-office.chartstyle+xml"/>
  <Override PartName="/xl/worksheets/sheet6.xml" ContentType="application/vnd.openxmlformats-officedocument.spreadsheetml.worksheet+xml"/>
  <Override PartName="/xl/charts/style2.xml" ContentType="application/vnd.ms-office.chartstyle+xml"/>
  <Override PartName="/xl/charts/colors1.xml" ContentType="application/vnd.ms-office.chartcolorstyle+xml"/>
  <Override PartName="/xl/charts/chart2.xml" ContentType="application/vnd.openxmlformats-officedocument.drawingml.chart+xml"/>
  <Override PartName="/xl/worksheets/sheet7.xml" ContentType="application/vnd.openxmlformats-officedocument.spreadsheetml.worksheet+xml"/>
  <Override PartName="/xl/ctrlProps/ctrlProp2.xml" ContentType="application/vnd.ms-excel.controlproperties+xml"/>
  <Override PartName="/xl/ctrlProps/ctrlProp1.xml" ContentType="application/vnd.ms-excel.controlproperties+xml"/>
  <Override PartName="/docProps/app.xml" ContentType="application/vnd.openxmlformats-officedocument.extended-properties+xml"/>
  <Override PartName="/xl/ctrlProps/ctrlProp4.xml" ContentType="application/vnd.ms-excel.controlproperties+xml"/>
  <Override PartName="/xl/comments1.xml" ContentType="application/vnd.openxmlformats-officedocument.spreadsheetml.comments+xml"/>
  <Override PartName="/xl/comments3.xml" ContentType="application/vnd.openxmlformats-officedocument.spreadsheetml.comments+xml"/>
  <Override PartName="/xl/ctrlProps/ctrlProp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C:\Users\ichin\Documents\fy17\final MPN update docs\"/>
    </mc:Choice>
  </mc:AlternateContent>
  <bookViews>
    <workbookView xWindow="0" yWindow="0" windowWidth="28800" windowHeight="11310" tabRatio="868"/>
  </bookViews>
  <sheets>
    <sheet name="Services Overview &amp; Costs" sheetId="55" r:id="rId1"/>
    <sheet name="Definitions" sheetId="56" r:id="rId2"/>
    <sheet name="Key Variables" sheetId="44" r:id="rId3"/>
    <sheet name="P&amp;L Detail" sheetId="30" r:id="rId4"/>
    <sheet name="Users" sheetId="52" r:id="rId5"/>
    <sheet name="Cash Flow" sheetId="39" r:id="rId6"/>
    <sheet name="Resourcing" sheetId="54" r:id="rId7"/>
    <sheet name="&quot;Fine Tune&quot; Variables" sheetId="48" state="hidden" r:id="rId8"/>
    <sheet name="Core Calculations" sheetId="31" state="hidden" r:id="rId9"/>
  </sheets>
  <definedNames>
    <definedName name="PaymentFrequency">'Key Variables'!#REF!</definedName>
    <definedName name="rationalize">'"Fine Tune" Variables'!#REF!</definedName>
  </definedNames>
  <calcPr calcId="171027"/>
</workbook>
</file>

<file path=xl/calcChain.xml><?xml version="1.0" encoding="utf-8"?>
<calcChain xmlns="http://schemas.openxmlformats.org/spreadsheetml/2006/main">
  <c r="AX38" i="31" l="1"/>
  <c r="B39" i="31" l="1"/>
  <c r="B52" i="31"/>
  <c r="B4" i="31"/>
  <c r="C4" i="31"/>
  <c r="D4" i="31"/>
  <c r="E4" i="31"/>
  <c r="F4" i="31"/>
  <c r="G4" i="31"/>
  <c r="H4" i="31"/>
  <c r="I4" i="31"/>
  <c r="J4" i="31"/>
  <c r="K4" i="31"/>
  <c r="L4" i="31"/>
  <c r="M4" i="31"/>
  <c r="N4" i="31"/>
  <c r="N29" i="31" s="1"/>
  <c r="O4" i="31"/>
  <c r="P4" i="31"/>
  <c r="Q4" i="31"/>
  <c r="R4" i="31"/>
  <c r="R29" i="31" s="1"/>
  <c r="R38" i="31" s="1"/>
  <c r="S4" i="31"/>
  <c r="S29" i="31" s="1"/>
  <c r="S38" i="31" s="1"/>
  <c r="T4" i="31"/>
  <c r="T29" i="31" s="1"/>
  <c r="T38" i="31" s="1"/>
  <c r="U4" i="31"/>
  <c r="V4" i="31"/>
  <c r="V29" i="31" s="1"/>
  <c r="V38" i="31" s="1"/>
  <c r="W4" i="31"/>
  <c r="X4" i="31"/>
  <c r="Y4" i="31"/>
  <c r="Z4" i="31"/>
  <c r="Z29" i="31" s="1"/>
  <c r="AA4" i="31"/>
  <c r="AB4" i="31"/>
  <c r="AC4" i="31"/>
  <c r="AD4" i="31"/>
  <c r="AD29" i="31" s="1"/>
  <c r="AD38" i="31" s="1"/>
  <c r="AE4" i="31"/>
  <c r="AF4" i="31"/>
  <c r="AG4" i="31"/>
  <c r="AH4" i="31"/>
  <c r="AH29" i="31" s="1"/>
  <c r="AH38" i="31" s="1"/>
  <c r="AI4" i="31"/>
  <c r="AJ4" i="31"/>
  <c r="AJ29" i="31" s="1"/>
  <c r="AJ38" i="31" s="1"/>
  <c r="AK4" i="31"/>
  <c r="AL4" i="31"/>
  <c r="AL29" i="31" s="1"/>
  <c r="AM4" i="31"/>
  <c r="AM29" i="31" s="1"/>
  <c r="AM38" i="31" s="1"/>
  <c r="AN4" i="31"/>
  <c r="AO4" i="31"/>
  <c r="AP4" i="31"/>
  <c r="AP29" i="31" s="1"/>
  <c r="AP38" i="31" s="1"/>
  <c r="AQ4" i="31"/>
  <c r="AR4" i="31"/>
  <c r="AS4" i="31"/>
  <c r="AT4" i="31"/>
  <c r="AT29" i="31" s="1"/>
  <c r="AT38" i="31" s="1"/>
  <c r="AU4" i="31"/>
  <c r="AU29" i="31" s="1"/>
  <c r="AU38" i="31" s="1"/>
  <c r="AV4" i="31"/>
  <c r="AW4" i="31"/>
  <c r="AL44" i="31"/>
  <c r="AM44" i="31"/>
  <c r="AN44" i="31"/>
  <c r="AO44" i="31"/>
  <c r="AP44" i="31"/>
  <c r="AQ44" i="31"/>
  <c r="AR44" i="31"/>
  <c r="AS44" i="31"/>
  <c r="AT44" i="31"/>
  <c r="AU44" i="31"/>
  <c r="AV44" i="31"/>
  <c r="AW44" i="31"/>
  <c r="AL26" i="31"/>
  <c r="AL35" i="31" s="1"/>
  <c r="AM26" i="31"/>
  <c r="AM35" i="31" s="1"/>
  <c r="AN26" i="31"/>
  <c r="AN35" i="31" s="1"/>
  <c r="AO26" i="31"/>
  <c r="AO35" i="31" s="1"/>
  <c r="AP26" i="31"/>
  <c r="AP35" i="31" s="1"/>
  <c r="AQ26" i="31"/>
  <c r="AQ35" i="31" s="1"/>
  <c r="AR26" i="31"/>
  <c r="AS26" i="31"/>
  <c r="AS35" i="31" s="1"/>
  <c r="AT26" i="31"/>
  <c r="AT35" i="31" s="1"/>
  <c r="AU26" i="31"/>
  <c r="AU35" i="31" s="1"/>
  <c r="AV26" i="31"/>
  <c r="AV35" i="31" s="1"/>
  <c r="AW26" i="31"/>
  <c r="AW35" i="31" s="1"/>
  <c r="Z44" i="31"/>
  <c r="AA44" i="31"/>
  <c r="AB44" i="31"/>
  <c r="AC44" i="31"/>
  <c r="AD44" i="31"/>
  <c r="AE44" i="31"/>
  <c r="AF44" i="31"/>
  <c r="AG44" i="31"/>
  <c r="AH44" i="31"/>
  <c r="AI44" i="31"/>
  <c r="AJ44" i="31"/>
  <c r="AK44" i="31"/>
  <c r="Z26" i="31"/>
  <c r="Z35" i="31" s="1"/>
  <c r="AA26" i="31"/>
  <c r="AA35" i="31" s="1"/>
  <c r="AB26" i="31"/>
  <c r="AB35" i="31" s="1"/>
  <c r="AC26" i="31"/>
  <c r="AC35" i="31" s="1"/>
  <c r="AD26" i="31"/>
  <c r="AD35" i="31" s="1"/>
  <c r="AE26" i="31"/>
  <c r="AE35" i="31" s="1"/>
  <c r="AF26" i="31"/>
  <c r="AG26" i="31"/>
  <c r="AG35" i="31" s="1"/>
  <c r="AH26" i="31"/>
  <c r="AH35" i="31" s="1"/>
  <c r="AI26" i="31"/>
  <c r="AI35" i="31" s="1"/>
  <c r="AJ26" i="31"/>
  <c r="AJ35" i="31" s="1"/>
  <c r="AK26" i="31"/>
  <c r="AK35" i="31" s="1"/>
  <c r="N44" i="31"/>
  <c r="O44" i="31"/>
  <c r="P44" i="31"/>
  <c r="Q44" i="31"/>
  <c r="R44" i="31"/>
  <c r="S44" i="31"/>
  <c r="T44" i="31"/>
  <c r="U44" i="31"/>
  <c r="V44" i="31"/>
  <c r="W44" i="31"/>
  <c r="X44" i="31"/>
  <c r="Y44" i="31"/>
  <c r="N26" i="31"/>
  <c r="N35" i="31" s="1"/>
  <c r="O26" i="31"/>
  <c r="O35" i="31" s="1"/>
  <c r="P26" i="31"/>
  <c r="Q26" i="31"/>
  <c r="Q35" i="31" s="1"/>
  <c r="R26" i="31"/>
  <c r="S26" i="31"/>
  <c r="S35" i="31" s="1"/>
  <c r="T26" i="31"/>
  <c r="T35" i="31" s="1"/>
  <c r="U26" i="31"/>
  <c r="U35" i="31" s="1"/>
  <c r="V26" i="31"/>
  <c r="V35" i="31" s="1"/>
  <c r="W26" i="31"/>
  <c r="W35" i="31" s="1"/>
  <c r="X26" i="31"/>
  <c r="X35" i="31" s="1"/>
  <c r="Y26" i="31"/>
  <c r="Y35" i="31" s="1"/>
  <c r="E7" i="30"/>
  <c r="E12" i="30"/>
  <c r="E87" i="30" s="1"/>
  <c r="I6" i="30"/>
  <c r="G6" i="30"/>
  <c r="F45" i="31"/>
  <c r="G45" i="31"/>
  <c r="J45" i="31"/>
  <c r="N45" i="31"/>
  <c r="R45" i="31"/>
  <c r="S45" i="31"/>
  <c r="T45" i="31"/>
  <c r="V45" i="31"/>
  <c r="Z45" i="31"/>
  <c r="AD45" i="31"/>
  <c r="AH45" i="31"/>
  <c r="AJ45" i="31"/>
  <c r="AL45" i="31"/>
  <c r="AM45" i="31"/>
  <c r="AP45" i="31"/>
  <c r="AT45" i="31"/>
  <c r="M6" i="30"/>
  <c r="K6" i="30"/>
  <c r="R35" i="31"/>
  <c r="AF35" i="31"/>
  <c r="AR35" i="31"/>
  <c r="C39" i="31"/>
  <c r="D39" i="31"/>
  <c r="E39" i="31"/>
  <c r="F39" i="31"/>
  <c r="G39" i="31"/>
  <c r="C47" i="31"/>
  <c r="C52" i="31"/>
  <c r="C49" i="31"/>
  <c r="D47" i="31"/>
  <c r="D52" i="31"/>
  <c r="D49" i="31"/>
  <c r="E47" i="31"/>
  <c r="E52" i="31"/>
  <c r="E49" i="31"/>
  <c r="F47" i="31"/>
  <c r="F52" i="31"/>
  <c r="F49" i="31"/>
  <c r="G47" i="31"/>
  <c r="G52" i="31"/>
  <c r="G49" i="31"/>
  <c r="H47" i="31"/>
  <c r="H52" i="31"/>
  <c r="H49" i="31"/>
  <c r="I47" i="31"/>
  <c r="I52" i="31"/>
  <c r="I49" i="31"/>
  <c r="J47" i="31"/>
  <c r="J52" i="31"/>
  <c r="J49" i="31"/>
  <c r="K47" i="31"/>
  <c r="K52" i="31"/>
  <c r="K49" i="31"/>
  <c r="L47" i="31"/>
  <c r="L52" i="31"/>
  <c r="L49" i="31"/>
  <c r="M47" i="31"/>
  <c r="M52" i="31"/>
  <c r="M49" i="31"/>
  <c r="N47" i="31"/>
  <c r="N52" i="31"/>
  <c r="N49" i="31"/>
  <c r="O47" i="31"/>
  <c r="O52" i="31"/>
  <c r="O49" i="31"/>
  <c r="P47" i="31"/>
  <c r="P52" i="31"/>
  <c r="P49" i="31"/>
  <c r="Q47" i="31"/>
  <c r="Q52" i="31"/>
  <c r="Q49" i="31"/>
  <c r="R47" i="31"/>
  <c r="R52" i="31"/>
  <c r="R49" i="31"/>
  <c r="S47" i="31"/>
  <c r="S52" i="31"/>
  <c r="S49" i="31"/>
  <c r="T47" i="31"/>
  <c r="T52" i="31"/>
  <c r="T49" i="31"/>
  <c r="U47" i="31"/>
  <c r="U52" i="31"/>
  <c r="U49" i="31"/>
  <c r="V47" i="31"/>
  <c r="V52" i="31"/>
  <c r="V49" i="31"/>
  <c r="W47" i="31"/>
  <c r="W52" i="31"/>
  <c r="W49" i="31"/>
  <c r="X47" i="31"/>
  <c r="X52" i="31"/>
  <c r="X49" i="31"/>
  <c r="Y47" i="31"/>
  <c r="Y52" i="31"/>
  <c r="Y49" i="31"/>
  <c r="Z47" i="31"/>
  <c r="Z52" i="31"/>
  <c r="Z49" i="31"/>
  <c r="AA47" i="31"/>
  <c r="AA52" i="31"/>
  <c r="AA49" i="31"/>
  <c r="AB47" i="31"/>
  <c r="AB52" i="31"/>
  <c r="AB49" i="31"/>
  <c r="AC47" i="31"/>
  <c r="AC52" i="31"/>
  <c r="AC49" i="31"/>
  <c r="AD47" i="31"/>
  <c r="AD52" i="31"/>
  <c r="AD49" i="31"/>
  <c r="AE47" i="31"/>
  <c r="AE52" i="31"/>
  <c r="AE49" i="31"/>
  <c r="AF47" i="31"/>
  <c r="AF52" i="31"/>
  <c r="AF49" i="31"/>
  <c r="AG47" i="31"/>
  <c r="AG52" i="31"/>
  <c r="AG49" i="31"/>
  <c r="AH47" i="31"/>
  <c r="AH52" i="31"/>
  <c r="AH49" i="31"/>
  <c r="AI47" i="31"/>
  <c r="AI52" i="31"/>
  <c r="AI49" i="31"/>
  <c r="AJ47" i="31"/>
  <c r="AJ52" i="31"/>
  <c r="AJ49" i="31"/>
  <c r="AK47" i="31"/>
  <c r="AK52" i="31"/>
  <c r="AK49" i="31"/>
  <c r="AL47" i="31"/>
  <c r="AL52" i="31"/>
  <c r="AL49" i="31"/>
  <c r="AM47" i="31"/>
  <c r="AM52" i="31"/>
  <c r="AM49" i="31"/>
  <c r="AN47" i="31"/>
  <c r="AN52" i="31"/>
  <c r="AN49" i="31"/>
  <c r="AO47" i="31"/>
  <c r="AO52" i="31"/>
  <c r="AO49" i="31"/>
  <c r="AP47" i="31"/>
  <c r="AP52" i="31"/>
  <c r="AP49" i="31"/>
  <c r="AQ47" i="31"/>
  <c r="AQ52" i="31"/>
  <c r="AQ49" i="31"/>
  <c r="AR47" i="31"/>
  <c r="AR52" i="31"/>
  <c r="AR49" i="31"/>
  <c r="AS47" i="31"/>
  <c r="AS52" i="31"/>
  <c r="AS49" i="31"/>
  <c r="AT47" i="31"/>
  <c r="AT52" i="31"/>
  <c r="AT49" i="31"/>
  <c r="AU47" i="31"/>
  <c r="AU52" i="31"/>
  <c r="AU49" i="31"/>
  <c r="AV47" i="31"/>
  <c r="AV52" i="31"/>
  <c r="AV49" i="31"/>
  <c r="AW47" i="31"/>
  <c r="AW52" i="31"/>
  <c r="AW49" i="31"/>
  <c r="B47" i="31"/>
  <c r="B49" i="31"/>
  <c r="G41" i="48"/>
  <c r="L22" i="44"/>
  <c r="H22" i="44"/>
  <c r="L25" i="44"/>
  <c r="E37" i="30"/>
  <c r="E36" i="30"/>
  <c r="H29" i="44"/>
  <c r="C29" i="48"/>
  <c r="C30" i="48" s="1"/>
  <c r="C7" i="48"/>
  <c r="M45" i="30"/>
  <c r="K45" i="30"/>
  <c r="I45" i="30"/>
  <c r="G45" i="30"/>
  <c r="E104" i="30"/>
  <c r="M106" i="30"/>
  <c r="I106" i="30"/>
  <c r="C12" i="48"/>
  <c r="C13" i="48"/>
  <c r="I82" i="44"/>
  <c r="J82" i="44" s="1"/>
  <c r="K82" i="44" s="1"/>
  <c r="N82" i="44" s="1"/>
  <c r="M126" i="30"/>
  <c r="K129" i="30" s="1"/>
  <c r="M125" i="30"/>
  <c r="L128" i="30" s="1"/>
  <c r="K128" i="30"/>
  <c r="L129" i="30"/>
  <c r="E77" i="30"/>
  <c r="E83" i="30"/>
  <c r="E62" i="30"/>
  <c r="E73" i="30" s="1"/>
  <c r="E63" i="30"/>
  <c r="E74" i="30" s="1"/>
  <c r="E68" i="30"/>
  <c r="E79" i="30" s="1"/>
  <c r="E67" i="30"/>
  <c r="E78" i="30"/>
  <c r="H26" i="44"/>
  <c r="E66" i="30"/>
  <c r="E111" i="30"/>
  <c r="E27" i="30"/>
  <c r="E32" i="30"/>
  <c r="E70" i="30"/>
  <c r="E108" i="30"/>
  <c r="B45" i="39"/>
  <c r="E17" i="30"/>
  <c r="E59" i="30"/>
  <c r="E58" i="30"/>
  <c r="E88" i="30"/>
  <c r="M44" i="30"/>
  <c r="K44" i="30"/>
  <c r="I44" i="30"/>
  <c r="G44" i="30"/>
  <c r="E46" i="30"/>
  <c r="G108" i="30"/>
  <c r="G111" i="30"/>
  <c r="I108" i="30"/>
  <c r="I111" i="30"/>
  <c r="K108" i="30"/>
  <c r="K111" i="30"/>
  <c r="M108" i="30"/>
  <c r="M111" i="30"/>
  <c r="G106" i="30"/>
  <c r="K106" i="30"/>
  <c r="E112" i="30" l="1"/>
  <c r="AU45" i="31"/>
  <c r="E48" i="30"/>
  <c r="E92" i="30" s="1"/>
  <c r="AL38" i="31"/>
  <c r="Z38" i="31"/>
  <c r="N38" i="31"/>
  <c r="E81" i="30"/>
  <c r="E109" i="30"/>
  <c r="E115" i="30" s="1"/>
  <c r="F5" i="30"/>
  <c r="F46" i="30"/>
  <c r="F10" i="30"/>
  <c r="E49" i="30"/>
  <c r="E51" i="30" s="1"/>
  <c r="K26" i="30"/>
  <c r="I26" i="30"/>
  <c r="G26" i="30"/>
  <c r="M26" i="30"/>
  <c r="F6" i="30"/>
  <c r="F12" i="30"/>
  <c r="F20" i="30"/>
  <c r="F32" i="30"/>
  <c r="F45" i="30"/>
  <c r="F40" i="30"/>
  <c r="F29" i="30"/>
  <c r="F4" i="30"/>
  <c r="E94" i="30"/>
  <c r="F44" i="30"/>
  <c r="F43" i="30"/>
  <c r="F9" i="30"/>
  <c r="E91" i="30"/>
  <c r="E95" i="30"/>
  <c r="AK45" i="31"/>
  <c r="AK29" i="31"/>
  <c r="AK38" i="31" s="1"/>
  <c r="AV45" i="31"/>
  <c r="AV29" i="31"/>
  <c r="AV38" i="31" s="1"/>
  <c r="AR45" i="31"/>
  <c r="AR29" i="31"/>
  <c r="AR38" i="31" s="1"/>
  <c r="AN45" i="31"/>
  <c r="AN29" i="31"/>
  <c r="AN38" i="31" s="1"/>
  <c r="AF45" i="31"/>
  <c r="AF29" i="31"/>
  <c r="AF38" i="31" s="1"/>
  <c r="AB45" i="31"/>
  <c r="AB29" i="31"/>
  <c r="AB38" i="31" s="1"/>
  <c r="X45" i="31"/>
  <c r="X29" i="31"/>
  <c r="X38" i="31" s="1"/>
  <c r="P45" i="31"/>
  <c r="P29" i="31"/>
  <c r="P38" i="31" s="1"/>
  <c r="L44" i="31"/>
  <c r="L29" i="31"/>
  <c r="L38" i="31" s="1"/>
  <c r="H44" i="31"/>
  <c r="H29" i="31"/>
  <c r="H38" i="31" s="1"/>
  <c r="D44" i="31"/>
  <c r="D29" i="31"/>
  <c r="D38" i="31" s="1"/>
  <c r="AW45" i="31"/>
  <c r="AW29" i="31"/>
  <c r="AW38" i="31" s="1"/>
  <c r="AO45" i="31"/>
  <c r="AO29" i="31"/>
  <c r="AO38" i="31" s="1"/>
  <c r="AC45" i="31"/>
  <c r="AC29" i="31"/>
  <c r="AC38" i="31" s="1"/>
  <c r="E26" i="31"/>
  <c r="E35" i="31" s="1"/>
  <c r="E29" i="31"/>
  <c r="E38" i="31" s="1"/>
  <c r="AQ45" i="31"/>
  <c r="AQ29" i="31"/>
  <c r="AQ38" i="31" s="1"/>
  <c r="AI45" i="31"/>
  <c r="AI29" i="31"/>
  <c r="AI38" i="31" s="1"/>
  <c r="AE45" i="31"/>
  <c r="AE29" i="31"/>
  <c r="AE38" i="31" s="1"/>
  <c r="AA45" i="31"/>
  <c r="AA29" i="31"/>
  <c r="AA38" i="31" s="1"/>
  <c r="W45" i="31"/>
  <c r="W29" i="31"/>
  <c r="W38" i="31" s="1"/>
  <c r="O45" i="31"/>
  <c r="O29" i="31"/>
  <c r="O38" i="31" s="1"/>
  <c r="K44" i="31"/>
  <c r="K29" i="31"/>
  <c r="K38" i="31" s="1"/>
  <c r="G44" i="31"/>
  <c r="G29" i="31"/>
  <c r="G38" i="31" s="1"/>
  <c r="C44" i="31"/>
  <c r="C29" i="31"/>
  <c r="C38" i="31" s="1"/>
  <c r="AS45" i="31"/>
  <c r="AS29" i="31"/>
  <c r="AS38" i="31" s="1"/>
  <c r="AG45" i="31"/>
  <c r="AG29" i="31"/>
  <c r="AG38" i="31" s="1"/>
  <c r="Y45" i="31"/>
  <c r="Y29" i="31"/>
  <c r="Y38" i="31" s="1"/>
  <c r="U45" i="31"/>
  <c r="U29" i="31"/>
  <c r="U38" i="31" s="1"/>
  <c r="Q45" i="31"/>
  <c r="Q29" i="31"/>
  <c r="Q38" i="31" s="1"/>
  <c r="M26" i="31"/>
  <c r="M35" i="31" s="1"/>
  <c r="M29" i="31"/>
  <c r="M38" i="31" s="1"/>
  <c r="I26" i="31"/>
  <c r="I35" i="31" s="1"/>
  <c r="I29" i="31"/>
  <c r="I38" i="31" s="1"/>
  <c r="J26" i="31"/>
  <c r="J35" i="31" s="1"/>
  <c r="J29" i="31"/>
  <c r="J38" i="31" s="1"/>
  <c r="F26" i="31"/>
  <c r="F35" i="31" s="1"/>
  <c r="F29" i="31"/>
  <c r="F38" i="31" s="1"/>
  <c r="B44" i="31"/>
  <c r="B29" i="31"/>
  <c r="M45" i="31"/>
  <c r="E45" i="31"/>
  <c r="I45" i="31"/>
  <c r="K45" i="31"/>
  <c r="I44" i="31"/>
  <c r="C45" i="31"/>
  <c r="G26" i="31"/>
  <c r="G35" i="31" s="1"/>
  <c r="F44" i="31"/>
  <c r="D26" i="31"/>
  <c r="D35" i="31" s="1"/>
  <c r="L26" i="31"/>
  <c r="L35" i="31" s="1"/>
  <c r="C26" i="31"/>
  <c r="C35" i="31" s="1"/>
  <c r="B26" i="31"/>
  <c r="L45" i="31"/>
  <c r="H45" i="31"/>
  <c r="D45" i="31"/>
  <c r="J44" i="31"/>
  <c r="K26" i="31"/>
  <c r="K35" i="31" s="1"/>
  <c r="B5" i="31"/>
  <c r="C5" i="31" s="1"/>
  <c r="C11" i="31" s="1"/>
  <c r="C21" i="31" s="1"/>
  <c r="C33" i="31" s="1"/>
  <c r="C42" i="31" s="1"/>
  <c r="E62" i="31"/>
  <c r="D62" i="31"/>
  <c r="H26" i="31"/>
  <c r="H35" i="31" s="1"/>
  <c r="M44" i="31"/>
  <c r="E44" i="31"/>
  <c r="B45" i="31"/>
  <c r="C62" i="31"/>
  <c r="C60" i="31"/>
  <c r="I11" i="30" s="1"/>
  <c r="C76" i="31"/>
  <c r="I31" i="30" s="1"/>
  <c r="E69" i="31"/>
  <c r="D69" i="31"/>
  <c r="P35" i="31"/>
  <c r="C69" i="31" s="1"/>
  <c r="E76" i="31"/>
  <c r="M31" i="30" s="1"/>
  <c r="D76" i="31"/>
  <c r="K31" i="30" s="1"/>
  <c r="E60" i="31"/>
  <c r="D60" i="31"/>
  <c r="F30" i="30" l="1"/>
  <c r="F7" i="30"/>
  <c r="E93" i="30"/>
  <c r="B38" i="31"/>
  <c r="B72" i="31" s="1"/>
  <c r="B65" i="31"/>
  <c r="G20" i="30" s="1"/>
  <c r="G40" i="30" s="1"/>
  <c r="D65" i="31"/>
  <c r="K20" i="30" s="1"/>
  <c r="K40" i="30" s="1"/>
  <c r="D72" i="31"/>
  <c r="C65" i="31"/>
  <c r="I20" i="30" s="1"/>
  <c r="I40" i="30" s="1"/>
  <c r="E65" i="31"/>
  <c r="M20" i="30" s="1"/>
  <c r="M40" i="30" s="1"/>
  <c r="C72" i="31"/>
  <c r="E72" i="31"/>
  <c r="E98" i="30"/>
  <c r="E99" i="30" s="1"/>
  <c r="F99" i="30" s="1"/>
  <c r="E101" i="30"/>
  <c r="E102" i="30" s="1"/>
  <c r="F102" i="30" s="1"/>
  <c r="B14" i="31"/>
  <c r="B24" i="31" s="1"/>
  <c r="B13" i="31"/>
  <c r="B35" i="31"/>
  <c r="B69" i="31" s="1"/>
  <c r="C14" i="31"/>
  <c r="C15" i="31" s="1"/>
  <c r="AX26" i="31"/>
  <c r="B76" i="31"/>
  <c r="G31" i="30" s="1"/>
  <c r="C12" i="31"/>
  <c r="C22" i="31" s="1"/>
  <c r="C28" i="31" s="1"/>
  <c r="C37" i="31" s="1"/>
  <c r="B12" i="31"/>
  <c r="B22" i="31" s="1"/>
  <c r="B28" i="31" s="1"/>
  <c r="B37" i="31" s="1"/>
  <c r="B11" i="31"/>
  <c r="B21" i="31" s="1"/>
  <c r="B33" i="31" s="1"/>
  <c r="B42" i="31" s="1"/>
  <c r="B17" i="31"/>
  <c r="B7" i="31"/>
  <c r="B9" i="31"/>
  <c r="B10" i="31"/>
  <c r="B20" i="31" s="1"/>
  <c r="B32" i="31" s="1"/>
  <c r="B41" i="31" s="1"/>
  <c r="C13" i="31"/>
  <c r="C23" i="31" s="1"/>
  <c r="C10" i="31"/>
  <c r="C20" i="31" s="1"/>
  <c r="C32" i="31" s="1"/>
  <c r="C41" i="31" s="1"/>
  <c r="D5" i="31"/>
  <c r="D9" i="31" s="1"/>
  <c r="B62" i="31"/>
  <c r="C9" i="31"/>
  <c r="C19" i="31" s="1"/>
  <c r="C7" i="31"/>
  <c r="C17" i="31"/>
  <c r="AX44" i="31"/>
  <c r="AX45" i="31"/>
  <c r="B60" i="31"/>
  <c r="G11" i="30" s="1"/>
  <c r="B31" i="31"/>
  <c r="B40" i="31" s="1"/>
  <c r="B15" i="31"/>
  <c r="C24" i="31"/>
  <c r="D13" i="31"/>
  <c r="D17" i="31"/>
  <c r="H30" i="31"/>
  <c r="B23" i="31"/>
  <c r="AX35" i="31"/>
  <c r="AY35" i="31" s="1"/>
  <c r="M11" i="30"/>
  <c r="K11" i="30"/>
  <c r="D14" i="31" l="1"/>
  <c r="D11" i="31"/>
  <c r="D21" i="31" s="1"/>
  <c r="D33" i="31" s="1"/>
  <c r="D42" i="31" s="1"/>
  <c r="C31" i="31"/>
  <c r="C40" i="31" s="1"/>
  <c r="D12" i="31"/>
  <c r="D22" i="31" s="1"/>
  <c r="D28" i="31" s="1"/>
  <c r="D37" i="31" s="1"/>
  <c r="E5" i="31"/>
  <c r="D7" i="31"/>
  <c r="D10" i="31"/>
  <c r="D20" i="31" s="1"/>
  <c r="D32" i="31" s="1"/>
  <c r="D41" i="31" s="1"/>
  <c r="I30" i="31"/>
  <c r="I39" i="31" s="1"/>
  <c r="C27" i="31"/>
  <c r="C36" i="31" s="1"/>
  <c r="N51" i="31"/>
  <c r="N50" i="31"/>
  <c r="B27" i="31"/>
  <c r="B19" i="31"/>
  <c r="O50" i="31"/>
  <c r="O51" i="31"/>
  <c r="E14" i="31"/>
  <c r="E9" i="31"/>
  <c r="F5" i="31"/>
  <c r="E11" i="31"/>
  <c r="E21" i="31" s="1"/>
  <c r="E33" i="31" s="1"/>
  <c r="E10" i="31"/>
  <c r="E20" i="31" s="1"/>
  <c r="E32" i="31" s="1"/>
  <c r="E17" i="31"/>
  <c r="E7" i="31"/>
  <c r="E13" i="31"/>
  <c r="E12" i="31"/>
  <c r="E22" i="31" s="1"/>
  <c r="E28" i="31" s="1"/>
  <c r="D31" i="31"/>
  <c r="D15" i="31"/>
  <c r="D24" i="31"/>
  <c r="D27" i="31"/>
  <c r="D19" i="31"/>
  <c r="H39" i="31"/>
  <c r="P51" i="31"/>
  <c r="P50" i="31"/>
  <c r="J30" i="31"/>
  <c r="J39" i="31" s="1"/>
  <c r="D23" i="31"/>
  <c r="B36" i="31" l="1"/>
  <c r="D40" i="31"/>
  <c r="E19" i="31"/>
  <c r="E27" i="31"/>
  <c r="E36" i="31" s="1"/>
  <c r="F10" i="31"/>
  <c r="F20" i="31" s="1"/>
  <c r="F32" i="31" s="1"/>
  <c r="F41" i="31" s="1"/>
  <c r="F11" i="31"/>
  <c r="F21" i="31" s="1"/>
  <c r="F33" i="31" s="1"/>
  <c r="F42" i="31" s="1"/>
  <c r="F12" i="31"/>
  <c r="F22" i="31" s="1"/>
  <c r="F28" i="31" s="1"/>
  <c r="F37" i="31" s="1"/>
  <c r="F14" i="31"/>
  <c r="F13" i="31"/>
  <c r="F9" i="31"/>
  <c r="G5" i="31"/>
  <c r="F17" i="31"/>
  <c r="F7" i="31"/>
  <c r="E37" i="31"/>
  <c r="E41" i="31"/>
  <c r="E31" i="31"/>
  <c r="E40" i="31" s="1"/>
  <c r="E15" i="31"/>
  <c r="E24" i="31"/>
  <c r="D36" i="31"/>
  <c r="Q50" i="31"/>
  <c r="Q51" i="31"/>
  <c r="K30" i="31"/>
  <c r="K39" i="31" s="1"/>
  <c r="E23" i="31"/>
  <c r="E42" i="31"/>
  <c r="R51" i="31" l="1"/>
  <c r="R50" i="31"/>
  <c r="H5" i="31"/>
  <c r="G10" i="31"/>
  <c r="G20" i="31" s="1"/>
  <c r="G32" i="31" s="1"/>
  <c r="G11" i="31"/>
  <c r="G21" i="31" s="1"/>
  <c r="G33" i="31" s="1"/>
  <c r="G12" i="31"/>
  <c r="G22" i="31" s="1"/>
  <c r="G28" i="31" s="1"/>
  <c r="G14" i="31"/>
  <c r="G13" i="31"/>
  <c r="G7" i="31"/>
  <c r="G17" i="31"/>
  <c r="G9" i="31"/>
  <c r="L30" i="31"/>
  <c r="F23" i="31"/>
  <c r="F24" i="31"/>
  <c r="F15" i="31"/>
  <c r="F31" i="31"/>
  <c r="F40" i="31" s="1"/>
  <c r="F27" i="31"/>
  <c r="F36" i="31" s="1"/>
  <c r="F19" i="31"/>
  <c r="M30" i="31" l="1"/>
  <c r="M39" i="31" s="1"/>
  <c r="G23" i="31"/>
  <c r="G42" i="31"/>
  <c r="G41" i="31"/>
  <c r="G19" i="31"/>
  <c r="G27" i="31"/>
  <c r="G31" i="31"/>
  <c r="G40" i="31" s="1"/>
  <c r="G24" i="31"/>
  <c r="G15" i="31"/>
  <c r="H9" i="31"/>
  <c r="I5" i="31"/>
  <c r="H11" i="31"/>
  <c r="H21" i="31" s="1"/>
  <c r="H33" i="31" s="1"/>
  <c r="H42" i="31" s="1"/>
  <c r="H10" i="31"/>
  <c r="H20" i="31" s="1"/>
  <c r="H32" i="31" s="1"/>
  <c r="H41" i="31" s="1"/>
  <c r="H12" i="31"/>
  <c r="H22" i="31" s="1"/>
  <c r="H28" i="31" s="1"/>
  <c r="H37" i="31" s="1"/>
  <c r="H13" i="31"/>
  <c r="H17" i="31"/>
  <c r="H7" i="31"/>
  <c r="H14" i="31"/>
  <c r="L39" i="31"/>
  <c r="S50" i="31"/>
  <c r="S51" i="31"/>
  <c r="G37" i="31"/>
  <c r="T51" i="31" l="1"/>
  <c r="T50" i="31"/>
  <c r="N30" i="31"/>
  <c r="H23" i="31"/>
  <c r="H31" i="31"/>
  <c r="H40" i="31" s="1"/>
  <c r="H15" i="31"/>
  <c r="H24" i="31"/>
  <c r="H27" i="31"/>
  <c r="H36" i="31" s="1"/>
  <c r="H19" i="31"/>
  <c r="G36" i="31"/>
  <c r="B73" i="31"/>
  <c r="G29" i="30" s="1"/>
  <c r="I14" i="31"/>
  <c r="I9" i="31"/>
  <c r="J5" i="31"/>
  <c r="I13" i="31"/>
  <c r="I10" i="31"/>
  <c r="I20" i="31" s="1"/>
  <c r="I32" i="31" s="1"/>
  <c r="I12" i="31"/>
  <c r="I22" i="31" s="1"/>
  <c r="I28" i="31" s="1"/>
  <c r="I11" i="31"/>
  <c r="I21" i="31" s="1"/>
  <c r="I33" i="31" s="1"/>
  <c r="I42" i="31" s="1"/>
  <c r="I17" i="31"/>
  <c r="I7" i="31"/>
  <c r="B66" i="31"/>
  <c r="G9" i="30" s="1"/>
  <c r="I64" i="44" s="1"/>
  <c r="I70" i="44" s="1"/>
  <c r="J10" i="31" l="1"/>
  <c r="J20" i="31" s="1"/>
  <c r="J32" i="31" s="1"/>
  <c r="J41" i="31" s="1"/>
  <c r="J11" i="31"/>
  <c r="J21" i="31" s="1"/>
  <c r="J33" i="31" s="1"/>
  <c r="J42" i="31" s="1"/>
  <c r="J12" i="31"/>
  <c r="J22" i="31" s="1"/>
  <c r="J28" i="31" s="1"/>
  <c r="J37" i="31" s="1"/>
  <c r="J14" i="31"/>
  <c r="J9" i="31"/>
  <c r="J13" i="31"/>
  <c r="J17" i="31"/>
  <c r="J7" i="31"/>
  <c r="K5" i="31"/>
  <c r="I37" i="31"/>
  <c r="I19" i="31"/>
  <c r="I27" i="31"/>
  <c r="I36" i="31" s="1"/>
  <c r="I41" i="31"/>
  <c r="G34" i="30"/>
  <c r="C36" i="54" s="1"/>
  <c r="I31" i="31"/>
  <c r="I15" i="31"/>
  <c r="I24" i="31"/>
  <c r="U50" i="31"/>
  <c r="U51" i="31"/>
  <c r="I23" i="31"/>
  <c r="O30" i="31"/>
  <c r="O39" i="31" s="1"/>
  <c r="N39" i="31"/>
  <c r="P30" i="31" l="1"/>
  <c r="J23" i="31"/>
  <c r="J24" i="31"/>
  <c r="J15" i="31"/>
  <c r="J31" i="31"/>
  <c r="J40" i="31" s="1"/>
  <c r="V51" i="31"/>
  <c r="V50" i="31"/>
  <c r="I40" i="31"/>
  <c r="L5" i="31"/>
  <c r="K10" i="31"/>
  <c r="K20" i="31" s="1"/>
  <c r="K32" i="31" s="1"/>
  <c r="K11" i="31"/>
  <c r="K21" i="31" s="1"/>
  <c r="K33" i="31" s="1"/>
  <c r="K12" i="31"/>
  <c r="K22" i="31" s="1"/>
  <c r="K28" i="31" s="1"/>
  <c r="K13" i="31"/>
  <c r="K14" i="31"/>
  <c r="K9" i="31"/>
  <c r="K7" i="31"/>
  <c r="K17" i="31"/>
  <c r="J27" i="31"/>
  <c r="J36" i="31" s="1"/>
  <c r="J19" i="31"/>
  <c r="K42" i="31" l="1"/>
  <c r="P39" i="31"/>
  <c r="K41" i="31"/>
  <c r="K37" i="31"/>
  <c r="K19" i="31"/>
  <c r="K27" i="31"/>
  <c r="K36" i="31" s="1"/>
  <c r="K31" i="31"/>
  <c r="K40" i="31" s="1"/>
  <c r="K24" i="31"/>
  <c r="K15" i="31"/>
  <c r="I77" i="44"/>
  <c r="W50" i="31"/>
  <c r="W51" i="31"/>
  <c r="K23" i="31"/>
  <c r="Q30" i="31"/>
  <c r="Q39" i="31" s="1"/>
  <c r="L9" i="31"/>
  <c r="M5" i="31"/>
  <c r="L10" i="31"/>
  <c r="L20" i="31" s="1"/>
  <c r="L32" i="31" s="1"/>
  <c r="L41" i="31" s="1"/>
  <c r="L12" i="31"/>
  <c r="L22" i="31" s="1"/>
  <c r="L28" i="31" s="1"/>
  <c r="L37" i="31" s="1"/>
  <c r="L11" i="31"/>
  <c r="L21" i="31" s="1"/>
  <c r="L33" i="31" s="1"/>
  <c r="L42" i="31" s="1"/>
  <c r="L13" i="31"/>
  <c r="L14" i="31"/>
  <c r="L17" i="31"/>
  <c r="L7" i="31"/>
  <c r="X51" i="31" l="1"/>
  <c r="X50" i="31"/>
  <c r="L24" i="31"/>
  <c r="L31" i="31"/>
  <c r="L40" i="31" s="1"/>
  <c r="L15" i="31"/>
  <c r="R30" i="31"/>
  <c r="R39" i="31" s="1"/>
  <c r="L23" i="31"/>
  <c r="M14" i="31"/>
  <c r="M11" i="31"/>
  <c r="M21" i="31" s="1"/>
  <c r="M9" i="31"/>
  <c r="M13" i="31"/>
  <c r="N5" i="31"/>
  <c r="M17" i="31"/>
  <c r="M7" i="31"/>
  <c r="M10" i="31"/>
  <c r="M20" i="31" s="1"/>
  <c r="M12" i="31"/>
  <c r="M22" i="31" s="1"/>
  <c r="L27" i="31"/>
  <c r="L36" i="31" s="1"/>
  <c r="L19" i="31"/>
  <c r="C41" i="52" l="1"/>
  <c r="M28" i="31"/>
  <c r="M32" i="31"/>
  <c r="M41" i="31" s="1"/>
  <c r="C39" i="52"/>
  <c r="S30" i="31"/>
  <c r="M23" i="31"/>
  <c r="M19" i="31"/>
  <c r="C38" i="52" s="1"/>
  <c r="M27" i="31"/>
  <c r="Y50" i="31"/>
  <c r="Y51" i="31"/>
  <c r="C40" i="52"/>
  <c r="M33" i="31"/>
  <c r="N11" i="31"/>
  <c r="N21" i="31" s="1"/>
  <c r="N33" i="31" s="1"/>
  <c r="N42" i="31" s="1"/>
  <c r="N10" i="31"/>
  <c r="N20" i="31" s="1"/>
  <c r="N32" i="31" s="1"/>
  <c r="N41" i="31" s="1"/>
  <c r="N14" i="31"/>
  <c r="N9" i="31"/>
  <c r="N12" i="31"/>
  <c r="N22" i="31" s="1"/>
  <c r="N28" i="31" s="1"/>
  <c r="N13" i="31"/>
  <c r="O5" i="31"/>
  <c r="N17" i="31"/>
  <c r="N7" i="31"/>
  <c r="M31" i="31"/>
  <c r="M40" i="31" s="1"/>
  <c r="M15" i="31"/>
  <c r="M24" i="31"/>
  <c r="C42" i="52" s="1"/>
  <c r="M37" i="31" l="1"/>
  <c r="B71" i="31" s="1"/>
  <c r="G30" i="30" s="1"/>
  <c r="B64" i="31"/>
  <c r="G10" i="30" s="1"/>
  <c r="N37" i="31"/>
  <c r="P5" i="31"/>
  <c r="O13" i="31"/>
  <c r="O17" i="31"/>
  <c r="O10" i="31"/>
  <c r="O20" i="31" s="1"/>
  <c r="O32" i="31" s="1"/>
  <c r="O41" i="31" s="1"/>
  <c r="O14" i="31"/>
  <c r="O9" i="31"/>
  <c r="O12" i="31"/>
  <c r="O22" i="31" s="1"/>
  <c r="O28" i="31" s="1"/>
  <c r="O37" i="31" s="1"/>
  <c r="O7" i="31"/>
  <c r="O11" i="31"/>
  <c r="O21" i="31" s="1"/>
  <c r="O33" i="31" s="1"/>
  <c r="O42" i="31" s="1"/>
  <c r="N15" i="31"/>
  <c r="N31" i="31"/>
  <c r="N24" i="31"/>
  <c r="T30" i="31"/>
  <c r="T39" i="31" s="1"/>
  <c r="N23" i="31"/>
  <c r="S39" i="31"/>
  <c r="Z50" i="31"/>
  <c r="Z51" i="31"/>
  <c r="N19" i="31"/>
  <c r="N27" i="31"/>
  <c r="M42" i="31"/>
  <c r="B74" i="31" s="1"/>
  <c r="G24" i="30" s="1"/>
  <c r="B67" i="31"/>
  <c r="G4" i="30" s="1"/>
  <c r="M36" i="31"/>
  <c r="B70" i="31" s="1"/>
  <c r="G25" i="30" s="1"/>
  <c r="B63" i="31"/>
  <c r="N40" i="31" l="1"/>
  <c r="AA51" i="31"/>
  <c r="AA50" i="31"/>
  <c r="O27" i="31"/>
  <c r="O36" i="31" s="1"/>
  <c r="O19" i="31"/>
  <c r="G12" i="30"/>
  <c r="G27" i="30"/>
  <c r="G5" i="30"/>
  <c r="I63" i="44" s="1"/>
  <c r="B79" i="31"/>
  <c r="N36" i="31"/>
  <c r="U30" i="31"/>
  <c r="U39" i="31" s="1"/>
  <c r="O23" i="31"/>
  <c r="O31" i="31"/>
  <c r="O40" i="31" s="1"/>
  <c r="O15" i="31"/>
  <c r="O24" i="31"/>
  <c r="P10" i="31"/>
  <c r="P20" i="31" s="1"/>
  <c r="P32" i="31" s="1"/>
  <c r="P41" i="31" s="1"/>
  <c r="P11" i="31"/>
  <c r="P21" i="31" s="1"/>
  <c r="P33" i="31" s="1"/>
  <c r="P42" i="31" s="1"/>
  <c r="Q5" i="31"/>
  <c r="P14" i="31"/>
  <c r="P9" i="31"/>
  <c r="P12" i="31"/>
  <c r="P22" i="31" s="1"/>
  <c r="P28" i="31" s="1"/>
  <c r="P37" i="31" s="1"/>
  <c r="P13" i="31"/>
  <c r="P7" i="31"/>
  <c r="P17" i="31"/>
  <c r="G35" i="30"/>
  <c r="C37" i="54" s="1"/>
  <c r="G32" i="30"/>
  <c r="G7" i="30" l="1"/>
  <c r="V30" i="31"/>
  <c r="V39" i="31" s="1"/>
  <c r="P23" i="31"/>
  <c r="AB50" i="31"/>
  <c r="AB51" i="31"/>
  <c r="P19" i="31"/>
  <c r="P27" i="31"/>
  <c r="P36" i="31" s="1"/>
  <c r="G88" i="30"/>
  <c r="P31" i="31"/>
  <c r="P24" i="31"/>
  <c r="P15" i="31"/>
  <c r="G112" i="30"/>
  <c r="G87" i="30"/>
  <c r="Q10" i="31"/>
  <c r="Q20" i="31" s="1"/>
  <c r="Q32" i="31" s="1"/>
  <c r="Q41" i="31" s="1"/>
  <c r="R5" i="31"/>
  <c r="Q13" i="31"/>
  <c r="Q11" i="31"/>
  <c r="Q21" i="31" s="1"/>
  <c r="Q33" i="31" s="1"/>
  <c r="Q42" i="31" s="1"/>
  <c r="Q17" i="31"/>
  <c r="Q9" i="31"/>
  <c r="Q7" i="31"/>
  <c r="Q14" i="31"/>
  <c r="Q12" i="31"/>
  <c r="Q22" i="31" s="1"/>
  <c r="Q28" i="31" s="1"/>
  <c r="Q37" i="31" s="1"/>
  <c r="I69" i="44"/>
  <c r="I65" i="44"/>
  <c r="G48" i="30" l="1"/>
  <c r="H12" i="30" s="1"/>
  <c r="G109" i="30"/>
  <c r="G115" i="30" s="1"/>
  <c r="Q31" i="31"/>
  <c r="Q40" i="31" s="1"/>
  <c r="Q24" i="31"/>
  <c r="Q15" i="31"/>
  <c r="AC50" i="31"/>
  <c r="AC51" i="31"/>
  <c r="I76" i="44"/>
  <c r="I78" i="44" s="1"/>
  <c r="I71" i="44"/>
  <c r="W30" i="31"/>
  <c r="W39" i="31" s="1"/>
  <c r="Q23" i="31"/>
  <c r="P29" i="44"/>
  <c r="G15" i="44" s="1"/>
  <c r="H31" i="30"/>
  <c r="H6" i="30"/>
  <c r="H45" i="30"/>
  <c r="L122" i="30"/>
  <c r="H40" i="30"/>
  <c r="K122" i="30"/>
  <c r="H26" i="30"/>
  <c r="G21" i="48"/>
  <c r="H11" i="30"/>
  <c r="H20" i="30"/>
  <c r="H44" i="30"/>
  <c r="G55" i="30"/>
  <c r="H29" i="30"/>
  <c r="H9" i="30"/>
  <c r="H25" i="30"/>
  <c r="H10" i="30"/>
  <c r="H24" i="30"/>
  <c r="H4" i="30"/>
  <c r="H30" i="30"/>
  <c r="P40" i="31"/>
  <c r="Q27" i="31"/>
  <c r="Q36" i="31" s="1"/>
  <c r="Q19" i="31"/>
  <c r="R10" i="31"/>
  <c r="R20" i="31" s="1"/>
  <c r="R32" i="31" s="1"/>
  <c r="R41" i="31" s="1"/>
  <c r="R14" i="31"/>
  <c r="R9" i="31"/>
  <c r="R12" i="31"/>
  <c r="R22" i="31" s="1"/>
  <c r="R28" i="31" s="1"/>
  <c r="R37" i="31" s="1"/>
  <c r="R13" i="31"/>
  <c r="R11" i="31"/>
  <c r="R21" i="31" s="1"/>
  <c r="R33" i="31" s="1"/>
  <c r="R42" i="31" s="1"/>
  <c r="R17" i="31"/>
  <c r="S5" i="31"/>
  <c r="R7" i="31"/>
  <c r="H32" i="30"/>
  <c r="H27" i="30" l="1"/>
  <c r="H5" i="30"/>
  <c r="H7" i="30"/>
  <c r="R24" i="31"/>
  <c r="R31" i="31"/>
  <c r="R15" i="31"/>
  <c r="X30" i="31"/>
  <c r="X39" i="31" s="1"/>
  <c r="R23" i="31"/>
  <c r="AD50" i="31"/>
  <c r="AD51" i="31"/>
  <c r="R19" i="31"/>
  <c r="R27" i="31"/>
  <c r="D48" i="31"/>
  <c r="D55" i="31" s="1"/>
  <c r="E48" i="31"/>
  <c r="E55" i="31" s="1"/>
  <c r="F48" i="31"/>
  <c r="F55" i="31" s="1"/>
  <c r="K48" i="31"/>
  <c r="K55" i="31" s="1"/>
  <c r="I48" i="31"/>
  <c r="I55" i="31" s="1"/>
  <c r="M48" i="31"/>
  <c r="M55" i="31" s="1"/>
  <c r="H48" i="31"/>
  <c r="H55" i="31" s="1"/>
  <c r="G48" i="31"/>
  <c r="G55" i="31" s="1"/>
  <c r="C38" i="54"/>
  <c r="B48" i="31"/>
  <c r="B55" i="31" s="1"/>
  <c r="C48" i="31"/>
  <c r="C55" i="31" s="1"/>
  <c r="J48" i="31"/>
  <c r="J55" i="31" s="1"/>
  <c r="G43" i="30"/>
  <c r="L48" i="31"/>
  <c r="L55" i="31" s="1"/>
  <c r="T5" i="31"/>
  <c r="S11" i="31"/>
  <c r="S21" i="31" s="1"/>
  <c r="S33" i="31" s="1"/>
  <c r="S42" i="31" s="1"/>
  <c r="S13" i="31"/>
  <c r="S17" i="31"/>
  <c r="S14" i="31"/>
  <c r="S9" i="31"/>
  <c r="S12" i="31"/>
  <c r="S22" i="31" s="1"/>
  <c r="S28" i="31" s="1"/>
  <c r="S7" i="31"/>
  <c r="S10" i="31"/>
  <c r="S20" i="31" s="1"/>
  <c r="S32" i="31" s="1"/>
  <c r="S41" i="31" s="1"/>
  <c r="S37" i="31" l="1"/>
  <c r="G46" i="30"/>
  <c r="G49" i="30" s="1"/>
  <c r="H43" i="30"/>
  <c r="S27" i="31"/>
  <c r="S36" i="31" s="1"/>
  <c r="S19" i="31"/>
  <c r="AE50" i="31"/>
  <c r="AE51" i="31"/>
  <c r="B56" i="31"/>
  <c r="R36" i="31"/>
  <c r="S23" i="31"/>
  <c r="Y30" i="31"/>
  <c r="R40" i="31"/>
  <c r="S31" i="31"/>
  <c r="S40" i="31" s="1"/>
  <c r="S15" i="31"/>
  <c r="S24" i="31"/>
  <c r="T10" i="31"/>
  <c r="T20" i="31" s="1"/>
  <c r="T32" i="31" s="1"/>
  <c r="T41" i="31" s="1"/>
  <c r="U5" i="31"/>
  <c r="T14" i="31"/>
  <c r="T9" i="31"/>
  <c r="T12" i="31"/>
  <c r="T22" i="31" s="1"/>
  <c r="T28" i="31" s="1"/>
  <c r="T37" i="31" s="1"/>
  <c r="T13" i="31"/>
  <c r="T17" i="31"/>
  <c r="T7" i="31"/>
  <c r="T11" i="31"/>
  <c r="T21" i="31" s="1"/>
  <c r="T33" i="31" s="1"/>
  <c r="T42" i="31" s="1"/>
  <c r="T27" i="31" l="1"/>
  <c r="T19" i="31"/>
  <c r="Z30" i="31"/>
  <c r="T23" i="31"/>
  <c r="U13" i="31"/>
  <c r="U10" i="31"/>
  <c r="U20" i="31" s="1"/>
  <c r="U32" i="31" s="1"/>
  <c r="U41" i="31" s="1"/>
  <c r="V5" i="31"/>
  <c r="U11" i="31"/>
  <c r="U21" i="31" s="1"/>
  <c r="U33" i="31" s="1"/>
  <c r="U42" i="31" s="1"/>
  <c r="U17" i="31"/>
  <c r="U12" i="31"/>
  <c r="U22" i="31" s="1"/>
  <c r="U28" i="31" s="1"/>
  <c r="U37" i="31" s="1"/>
  <c r="U7" i="31"/>
  <c r="U9" i="31"/>
  <c r="U14" i="31"/>
  <c r="Y39" i="31"/>
  <c r="C73" i="31" s="1"/>
  <c r="I29" i="30" s="1"/>
  <c r="C66" i="31"/>
  <c r="I9" i="30" s="1"/>
  <c r="J64" i="44" s="1"/>
  <c r="J70" i="44" s="1"/>
  <c r="C56" i="31"/>
  <c r="C45" i="39"/>
  <c r="H46" i="30"/>
  <c r="G51" i="30"/>
  <c r="AF50" i="31"/>
  <c r="AF51" i="31"/>
  <c r="T24" i="31"/>
  <c r="T15" i="31"/>
  <c r="T31" i="31"/>
  <c r="G22" i="48" l="1"/>
  <c r="P30" i="44"/>
  <c r="G53" i="30"/>
  <c r="U27" i="31"/>
  <c r="U36" i="31" s="1"/>
  <c r="U19" i="31"/>
  <c r="I34" i="30"/>
  <c r="D36" i="54" s="1"/>
  <c r="V13" i="31"/>
  <c r="V10" i="31"/>
  <c r="V20" i="31" s="1"/>
  <c r="V32" i="31" s="1"/>
  <c r="V41" i="31" s="1"/>
  <c r="V14" i="31"/>
  <c r="V9" i="31"/>
  <c r="V12" i="31"/>
  <c r="V22" i="31" s="1"/>
  <c r="V28" i="31" s="1"/>
  <c r="V37" i="31" s="1"/>
  <c r="W5" i="31"/>
  <c r="V11" i="31"/>
  <c r="V21" i="31" s="1"/>
  <c r="V33" i="31" s="1"/>
  <c r="V42" i="31" s="1"/>
  <c r="V17" i="31"/>
  <c r="V7" i="31"/>
  <c r="Z39" i="31"/>
  <c r="T40" i="31"/>
  <c r="D45" i="39"/>
  <c r="D56" i="31"/>
  <c r="U31" i="31"/>
  <c r="U40" i="31" s="1"/>
  <c r="U15" i="31"/>
  <c r="U24" i="31"/>
  <c r="AG50" i="31"/>
  <c r="AG51" i="31"/>
  <c r="AA30" i="31"/>
  <c r="AA39" i="31" s="1"/>
  <c r="U23" i="31"/>
  <c r="T36" i="31"/>
  <c r="V23" i="31" l="1"/>
  <c r="AB30" i="31"/>
  <c r="AB39" i="31" s="1"/>
  <c r="V27" i="31"/>
  <c r="V36" i="31" s="1"/>
  <c r="V19" i="31"/>
  <c r="E45" i="39"/>
  <c r="E56" i="31"/>
  <c r="V24" i="31"/>
  <c r="V31" i="31"/>
  <c r="V15" i="31"/>
  <c r="AH50" i="31"/>
  <c r="AH51" i="31"/>
  <c r="X5" i="31"/>
  <c r="W13" i="31"/>
  <c r="W11" i="31"/>
  <c r="W21" i="31" s="1"/>
  <c r="W33" i="31" s="1"/>
  <c r="W42" i="31" s="1"/>
  <c r="W17" i="31"/>
  <c r="W10" i="31"/>
  <c r="W20" i="31" s="1"/>
  <c r="W32" i="31" s="1"/>
  <c r="W41" i="31" s="1"/>
  <c r="W14" i="31"/>
  <c r="W9" i="31"/>
  <c r="W12" i="31"/>
  <c r="W22" i="31" s="1"/>
  <c r="W28" i="31" s="1"/>
  <c r="W37" i="31" s="1"/>
  <c r="W7" i="31"/>
  <c r="W31" i="31" l="1"/>
  <c r="W40" i="31" s="1"/>
  <c r="W15" i="31"/>
  <c r="W24" i="31"/>
  <c r="X10" i="31"/>
  <c r="X20" i="31" s="1"/>
  <c r="X32" i="31" s="1"/>
  <c r="X41" i="31" s="1"/>
  <c r="Y5" i="31"/>
  <c r="X14" i="31"/>
  <c r="X9" i="31"/>
  <c r="X12" i="31"/>
  <c r="X22" i="31" s="1"/>
  <c r="X28" i="31" s="1"/>
  <c r="X37" i="31" s="1"/>
  <c r="X13" i="31"/>
  <c r="X11" i="31"/>
  <c r="X21" i="31" s="1"/>
  <c r="X33" i="31" s="1"/>
  <c r="X42" i="31" s="1"/>
  <c r="X17" i="31"/>
  <c r="X7" i="31"/>
  <c r="F45" i="39"/>
  <c r="F56" i="31"/>
  <c r="W27" i="31"/>
  <c r="W36" i="31" s="1"/>
  <c r="W19" i="31"/>
  <c r="J77" i="44"/>
  <c r="AC30" i="31"/>
  <c r="W23" i="31"/>
  <c r="AI51" i="31"/>
  <c r="AI50" i="31"/>
  <c r="V40" i="31"/>
  <c r="X27" i="31" l="1"/>
  <c r="X36" i="31" s="1"/>
  <c r="X19" i="31"/>
  <c r="AC39" i="31"/>
  <c r="AJ50" i="31"/>
  <c r="AJ51" i="31"/>
  <c r="G45" i="39"/>
  <c r="G56" i="31"/>
  <c r="X31" i="31"/>
  <c r="X40" i="31" s="1"/>
  <c r="X24" i="31"/>
  <c r="X15" i="31"/>
  <c r="AD30" i="31"/>
  <c r="AD39" i="31" s="1"/>
  <c r="X23" i="31"/>
  <c r="Y11" i="31"/>
  <c r="Y21" i="31" s="1"/>
  <c r="Y13" i="31"/>
  <c r="Y10" i="31"/>
  <c r="Y20" i="31" s="1"/>
  <c r="Z5" i="31"/>
  <c r="Y17" i="31"/>
  <c r="Y7" i="31"/>
  <c r="Y12" i="31"/>
  <c r="Y22" i="31" s="1"/>
  <c r="Y9" i="31"/>
  <c r="Y14" i="31"/>
  <c r="D40" i="52" l="1"/>
  <c r="Y33" i="31"/>
  <c r="Y27" i="31"/>
  <c r="Y19" i="31"/>
  <c r="D38" i="52" s="1"/>
  <c r="Y32" i="31"/>
  <c r="Y41" i="31" s="1"/>
  <c r="D39" i="52"/>
  <c r="AE30" i="31"/>
  <c r="AE39" i="31" s="1"/>
  <c r="Y23" i="31"/>
  <c r="H45" i="39"/>
  <c r="H56" i="31"/>
  <c r="AK50" i="31"/>
  <c r="AK51" i="31"/>
  <c r="Z14" i="31"/>
  <c r="Z12" i="31"/>
  <c r="Z22" i="31" s="1"/>
  <c r="Z28" i="31" s="1"/>
  <c r="Z13" i="31"/>
  <c r="Z9" i="31"/>
  <c r="Z11" i="31"/>
  <c r="Z21" i="31" s="1"/>
  <c r="Z33" i="31" s="1"/>
  <c r="Z42" i="31" s="1"/>
  <c r="Z17" i="31"/>
  <c r="Z10" i="31"/>
  <c r="Z20" i="31" s="1"/>
  <c r="Z32" i="31" s="1"/>
  <c r="Z41" i="31" s="1"/>
  <c r="AA5" i="31"/>
  <c r="Z7" i="31"/>
  <c r="Y31" i="31"/>
  <c r="Y40" i="31" s="1"/>
  <c r="Y24" i="31"/>
  <c r="D42" i="52" s="1"/>
  <c r="Y15" i="31"/>
  <c r="Y28" i="31"/>
  <c r="D41" i="52"/>
  <c r="Z37" i="31" l="1"/>
  <c r="Y36" i="31"/>
  <c r="C70" i="31" s="1"/>
  <c r="I25" i="30" s="1"/>
  <c r="C63" i="31"/>
  <c r="Z23" i="31"/>
  <c r="AF30" i="31"/>
  <c r="Y37" i="31"/>
  <c r="C71" i="31" s="1"/>
  <c r="I30" i="30" s="1"/>
  <c r="C64" i="31"/>
  <c r="I10" i="30" s="1"/>
  <c r="Z31" i="31"/>
  <c r="Z15" i="31"/>
  <c r="Z24" i="31"/>
  <c r="I45" i="39"/>
  <c r="I56" i="31"/>
  <c r="Y42" i="31"/>
  <c r="C74" i="31" s="1"/>
  <c r="I24" i="30" s="1"/>
  <c r="C67" i="31"/>
  <c r="I4" i="30" s="1"/>
  <c r="AL50" i="31"/>
  <c r="AL51" i="31"/>
  <c r="AB5" i="31"/>
  <c r="AA10" i="31"/>
  <c r="AA20" i="31" s="1"/>
  <c r="AA32" i="31" s="1"/>
  <c r="AA41" i="31" s="1"/>
  <c r="AA11" i="31"/>
  <c r="AA21" i="31" s="1"/>
  <c r="AA33" i="31" s="1"/>
  <c r="AA42" i="31" s="1"/>
  <c r="AA13" i="31"/>
  <c r="AA9" i="31"/>
  <c r="AA17" i="31"/>
  <c r="AA12" i="31"/>
  <c r="AA22" i="31" s="1"/>
  <c r="AA28" i="31" s="1"/>
  <c r="AA37" i="31" s="1"/>
  <c r="AA7" i="31"/>
  <c r="AA14" i="31"/>
  <c r="Z19" i="31"/>
  <c r="Z27" i="31"/>
  <c r="AA31" i="31" l="1"/>
  <c r="AA40" i="31" s="1"/>
  <c r="AA24" i="31"/>
  <c r="AA15" i="31"/>
  <c r="AM51" i="31"/>
  <c r="AM50" i="31"/>
  <c r="I35" i="30"/>
  <c r="D37" i="54" s="1"/>
  <c r="I32" i="30"/>
  <c r="I27" i="30"/>
  <c r="AF39" i="31"/>
  <c r="AG30" i="31"/>
  <c r="AG39" i="31" s="1"/>
  <c r="AA23" i="31"/>
  <c r="J45" i="39"/>
  <c r="J56" i="31"/>
  <c r="Z40" i="31"/>
  <c r="AA27" i="31"/>
  <c r="AA36" i="31" s="1"/>
  <c r="AA19" i="31"/>
  <c r="AB14" i="31"/>
  <c r="AB9" i="31"/>
  <c r="AB12" i="31"/>
  <c r="AB22" i="31" s="1"/>
  <c r="AB28" i="31" s="1"/>
  <c r="AB37" i="31" s="1"/>
  <c r="AC5" i="31"/>
  <c r="AB10" i="31"/>
  <c r="AB20" i="31" s="1"/>
  <c r="AB32" i="31" s="1"/>
  <c r="AB41" i="31" s="1"/>
  <c r="AB11" i="31"/>
  <c r="AB21" i="31" s="1"/>
  <c r="AB33" i="31" s="1"/>
  <c r="AB42" i="31" s="1"/>
  <c r="AB13" i="31"/>
  <c r="AB17" i="31"/>
  <c r="AB7" i="31"/>
  <c r="Z36" i="31"/>
  <c r="I12" i="30"/>
  <c r="I87" i="30" s="1"/>
  <c r="I5" i="30"/>
  <c r="I7" i="30" s="1"/>
  <c r="C79" i="31"/>
  <c r="J63" i="44" l="1"/>
  <c r="J65" i="44" s="1"/>
  <c r="AB15" i="31"/>
  <c r="AB24" i="31"/>
  <c r="AB31" i="31"/>
  <c r="AC13" i="31"/>
  <c r="AC14" i="31"/>
  <c r="AC9" i="31"/>
  <c r="AC12" i="31"/>
  <c r="AC22" i="31" s="1"/>
  <c r="AC28" i="31" s="1"/>
  <c r="AC37" i="31" s="1"/>
  <c r="AC11" i="31"/>
  <c r="AC21" i="31" s="1"/>
  <c r="AC33" i="31" s="1"/>
  <c r="AC42" i="31" s="1"/>
  <c r="AD5" i="31"/>
  <c r="AC10" i="31"/>
  <c r="AC20" i="31" s="1"/>
  <c r="AC32" i="31" s="1"/>
  <c r="AC41" i="31" s="1"/>
  <c r="AC17" i="31"/>
  <c r="AC7" i="31"/>
  <c r="AB27" i="31"/>
  <c r="AB19" i="31"/>
  <c r="I88" i="30"/>
  <c r="AN50" i="31"/>
  <c r="AN51" i="31"/>
  <c r="I48" i="30"/>
  <c r="J7" i="30" s="1"/>
  <c r="I109" i="30"/>
  <c r="AH30" i="31"/>
  <c r="AH39" i="31" s="1"/>
  <c r="AB23" i="31"/>
  <c r="K45" i="39"/>
  <c r="K56" i="31"/>
  <c r="I112" i="30"/>
  <c r="J69" i="44" l="1"/>
  <c r="J71" i="44" s="1"/>
  <c r="J27" i="30"/>
  <c r="I115" i="30"/>
  <c r="L45" i="39"/>
  <c r="L56" i="31"/>
  <c r="AI30" i="31"/>
  <c r="AI39" i="31" s="1"/>
  <c r="AC23" i="31"/>
  <c r="AB40" i="31"/>
  <c r="AB36" i="31"/>
  <c r="AC27" i="31"/>
  <c r="AC36" i="31" s="1"/>
  <c r="AC19" i="31"/>
  <c r="AO51" i="31"/>
  <c r="AO50" i="31"/>
  <c r="J12" i="30"/>
  <c r="J40" i="30"/>
  <c r="J44" i="30"/>
  <c r="J31" i="30"/>
  <c r="J6" i="30"/>
  <c r="J11" i="30"/>
  <c r="Q29" i="44"/>
  <c r="H15" i="44" s="1"/>
  <c r="I55" i="30"/>
  <c r="J20" i="30"/>
  <c r="J45" i="30"/>
  <c r="H21" i="48"/>
  <c r="J26" i="30"/>
  <c r="J9" i="30"/>
  <c r="J29" i="30"/>
  <c r="J24" i="30"/>
  <c r="J10" i="30"/>
  <c r="J4" i="30"/>
  <c r="J25" i="30"/>
  <c r="J30" i="30"/>
  <c r="J32" i="30"/>
  <c r="J5" i="30"/>
  <c r="AD9" i="31"/>
  <c r="AD13" i="31"/>
  <c r="AD14" i="31"/>
  <c r="AD12" i="31"/>
  <c r="AD22" i="31" s="1"/>
  <c r="AD28" i="31" s="1"/>
  <c r="AD37" i="31" s="1"/>
  <c r="AE5" i="31"/>
  <c r="AD10" i="31"/>
  <c r="AD20" i="31" s="1"/>
  <c r="AD32" i="31" s="1"/>
  <c r="AD41" i="31" s="1"/>
  <c r="AD11" i="31"/>
  <c r="AD21" i="31" s="1"/>
  <c r="AD33" i="31" s="1"/>
  <c r="AD42" i="31" s="1"/>
  <c r="AD7" i="31"/>
  <c r="AD17" i="31"/>
  <c r="AC31" i="31"/>
  <c r="AC40" i="31" s="1"/>
  <c r="AC24" i="31"/>
  <c r="AC15" i="31"/>
  <c r="J76" i="44" l="1"/>
  <c r="J78" i="44" s="1"/>
  <c r="M56" i="31"/>
  <c r="N45" i="39" s="1"/>
  <c r="M45" i="39"/>
  <c r="N48" i="31"/>
  <c r="N55" i="31" s="1"/>
  <c r="U48" i="31"/>
  <c r="U55" i="31" s="1"/>
  <c r="V48" i="31"/>
  <c r="V55" i="31" s="1"/>
  <c r="T48" i="31"/>
  <c r="T55" i="31" s="1"/>
  <c r="D38" i="54"/>
  <c r="S48" i="31"/>
  <c r="S55" i="31" s="1"/>
  <c r="Y48" i="31"/>
  <c r="Y55" i="31" s="1"/>
  <c r="Q48" i="31"/>
  <c r="Q55" i="31" s="1"/>
  <c r="P48" i="31"/>
  <c r="P55" i="31" s="1"/>
  <c r="I43" i="30"/>
  <c r="X48" i="31"/>
  <c r="X55" i="31" s="1"/>
  <c r="W48" i="31"/>
  <c r="W55" i="31" s="1"/>
  <c r="O48" i="31"/>
  <c r="O55" i="31" s="1"/>
  <c r="R48" i="31"/>
  <c r="R55" i="31" s="1"/>
  <c r="AD31" i="31"/>
  <c r="AD40" i="31" s="1"/>
  <c r="AD15" i="31"/>
  <c r="AD24" i="31"/>
  <c r="AJ30" i="31"/>
  <c r="AJ39" i="31" s="1"/>
  <c r="AD23" i="31"/>
  <c r="AP50" i="31"/>
  <c r="AP51" i="31"/>
  <c r="AF5" i="31"/>
  <c r="AE10" i="31"/>
  <c r="AE20" i="31" s="1"/>
  <c r="AE32" i="31" s="1"/>
  <c r="AE41" i="31" s="1"/>
  <c r="AE11" i="31"/>
  <c r="AE21" i="31" s="1"/>
  <c r="AE33" i="31" s="1"/>
  <c r="AE42" i="31" s="1"/>
  <c r="AE13" i="31"/>
  <c r="AE14" i="31"/>
  <c r="AE12" i="31"/>
  <c r="AE22" i="31" s="1"/>
  <c r="AE28" i="31" s="1"/>
  <c r="AE37" i="31" s="1"/>
  <c r="AE17" i="31"/>
  <c r="AE7" i="31"/>
  <c r="AE9" i="31"/>
  <c r="AD19" i="31"/>
  <c r="AD27" i="31"/>
  <c r="AD36" i="31" s="1"/>
  <c r="AK30" i="31" l="1"/>
  <c r="AE23" i="31"/>
  <c r="N56" i="31"/>
  <c r="O45" i="39" s="1"/>
  <c r="AQ51" i="31"/>
  <c r="AQ50" i="31"/>
  <c r="AE27" i="31"/>
  <c r="AE36" i="31" s="1"/>
  <c r="AE19" i="31"/>
  <c r="AE31" i="31"/>
  <c r="AE40" i="31" s="1"/>
  <c r="AE24" i="31"/>
  <c r="AE15" i="31"/>
  <c r="AF14" i="31"/>
  <c r="AF9" i="31"/>
  <c r="AF12" i="31"/>
  <c r="AF22" i="31" s="1"/>
  <c r="AF28" i="31" s="1"/>
  <c r="AF37" i="31" s="1"/>
  <c r="AG5" i="31"/>
  <c r="AF10" i="31"/>
  <c r="AF20" i="31" s="1"/>
  <c r="AF32" i="31" s="1"/>
  <c r="AF41" i="31" s="1"/>
  <c r="AF11" i="31"/>
  <c r="AF21" i="31" s="1"/>
  <c r="AF33" i="31" s="1"/>
  <c r="AF42" i="31" s="1"/>
  <c r="AF17" i="31"/>
  <c r="AF7" i="31"/>
  <c r="AF13" i="31"/>
  <c r="J43" i="30"/>
  <c r="I46" i="30"/>
  <c r="AR50" i="31" l="1"/>
  <c r="AR51" i="31"/>
  <c r="AK39" i="31"/>
  <c r="D73" i="31" s="1"/>
  <c r="K29" i="30" s="1"/>
  <c r="D66" i="31"/>
  <c r="K9" i="30" s="1"/>
  <c r="K64" i="44" s="1"/>
  <c r="K70" i="44" s="1"/>
  <c r="I49" i="30"/>
  <c r="I51" i="30" s="1"/>
  <c r="J46" i="30"/>
  <c r="AG13" i="31"/>
  <c r="AG14" i="31"/>
  <c r="AG9" i="31"/>
  <c r="AG12" i="31"/>
  <c r="AG22" i="31" s="1"/>
  <c r="AG28" i="31" s="1"/>
  <c r="AG37" i="31" s="1"/>
  <c r="AH5" i="31"/>
  <c r="AG10" i="31"/>
  <c r="AG20" i="31" s="1"/>
  <c r="AG32" i="31" s="1"/>
  <c r="AG41" i="31" s="1"/>
  <c r="AG11" i="31"/>
  <c r="AG21" i="31" s="1"/>
  <c r="AG33" i="31" s="1"/>
  <c r="AG42" i="31" s="1"/>
  <c r="AG17" i="31"/>
  <c r="AG7" i="31"/>
  <c r="AF19" i="31"/>
  <c r="AF27" i="31"/>
  <c r="AL30" i="31"/>
  <c r="AF23" i="31"/>
  <c r="AF31" i="31"/>
  <c r="AF24" i="31"/>
  <c r="AF15" i="31"/>
  <c r="O56" i="31"/>
  <c r="AL39" i="31" l="1"/>
  <c r="AS51" i="31"/>
  <c r="AS50" i="31"/>
  <c r="K34" i="30"/>
  <c r="E36" i="54" s="1"/>
  <c r="AF36" i="31"/>
  <c r="H22" i="48"/>
  <c r="I53" i="30"/>
  <c r="Q30" i="44"/>
  <c r="P45" i="39"/>
  <c r="P56" i="31"/>
  <c r="AH14" i="31"/>
  <c r="AH12" i="31"/>
  <c r="AH22" i="31" s="1"/>
  <c r="AH28" i="31" s="1"/>
  <c r="AH37" i="31" s="1"/>
  <c r="AH9" i="31"/>
  <c r="AH13" i="31"/>
  <c r="AH11" i="31"/>
  <c r="AH21" i="31" s="1"/>
  <c r="AH33" i="31" s="1"/>
  <c r="AH42" i="31" s="1"/>
  <c r="AI5" i="31"/>
  <c r="AH7" i="31"/>
  <c r="AH17" i="31"/>
  <c r="AH10" i="31"/>
  <c r="AH20" i="31" s="1"/>
  <c r="AH32" i="31" s="1"/>
  <c r="AH41" i="31" s="1"/>
  <c r="AM30" i="31"/>
  <c r="AM39" i="31" s="1"/>
  <c r="AG23" i="31"/>
  <c r="AG27" i="31"/>
  <c r="AG36" i="31" s="1"/>
  <c r="AG19" i="31"/>
  <c r="AF40" i="31"/>
  <c r="AG31" i="31"/>
  <c r="AG40" i="31" s="1"/>
  <c r="AG15" i="31"/>
  <c r="AG24" i="31"/>
  <c r="AN30" i="31" l="1"/>
  <c r="AH23" i="31"/>
  <c r="Q45" i="39"/>
  <c r="Q56" i="31"/>
  <c r="AH19" i="31"/>
  <c r="AH27" i="31"/>
  <c r="AH36" i="31" s="1"/>
  <c r="AJ5" i="31"/>
  <c r="AI10" i="31"/>
  <c r="AI20" i="31" s="1"/>
  <c r="AI32" i="31" s="1"/>
  <c r="AI41" i="31" s="1"/>
  <c r="AI11" i="31"/>
  <c r="AI21" i="31" s="1"/>
  <c r="AI33" i="31" s="1"/>
  <c r="AI42" i="31" s="1"/>
  <c r="AI13" i="31"/>
  <c r="AI9" i="31"/>
  <c r="AI17" i="31"/>
  <c r="AI12" i="31"/>
  <c r="AI22" i="31" s="1"/>
  <c r="AI28" i="31" s="1"/>
  <c r="AI37" i="31" s="1"/>
  <c r="AI14" i="31"/>
  <c r="AI7" i="31"/>
  <c r="AH31" i="31"/>
  <c r="AH40" i="31" s="1"/>
  <c r="AH24" i="31"/>
  <c r="AH15" i="31"/>
  <c r="AT50" i="31"/>
  <c r="AT51" i="31"/>
  <c r="AJ14" i="31" l="1"/>
  <c r="AJ9" i="31"/>
  <c r="AJ12" i="31"/>
  <c r="AJ22" i="31" s="1"/>
  <c r="AJ28" i="31" s="1"/>
  <c r="AJ37" i="31" s="1"/>
  <c r="AK5" i="31"/>
  <c r="AJ10" i="31"/>
  <c r="AJ20" i="31" s="1"/>
  <c r="AJ32" i="31" s="1"/>
  <c r="AJ41" i="31" s="1"/>
  <c r="AJ11" i="31"/>
  <c r="AJ21" i="31" s="1"/>
  <c r="AJ33" i="31" s="1"/>
  <c r="AJ42" i="31" s="1"/>
  <c r="AJ13" i="31"/>
  <c r="AJ7" i="31"/>
  <c r="AJ17" i="31"/>
  <c r="R45" i="39"/>
  <c r="R56" i="31"/>
  <c r="AU51" i="31"/>
  <c r="AU50" i="31"/>
  <c r="AN39" i="31"/>
  <c r="AI27" i="31"/>
  <c r="AI36" i="31" s="1"/>
  <c r="AI19" i="31"/>
  <c r="AI31" i="31"/>
  <c r="AI40" i="31" s="1"/>
  <c r="AI24" i="31"/>
  <c r="AI15" i="31"/>
  <c r="AO30" i="31"/>
  <c r="AO39" i="31" s="1"/>
  <c r="AI23" i="31"/>
  <c r="K77" i="44"/>
  <c r="S45" i="39" l="1"/>
  <c r="S56" i="31"/>
  <c r="AP30" i="31"/>
  <c r="AJ23" i="31"/>
  <c r="AK13" i="31"/>
  <c r="AK14" i="31"/>
  <c r="AK9" i="31"/>
  <c r="AK12" i="31"/>
  <c r="AK22" i="31" s="1"/>
  <c r="AL5" i="31"/>
  <c r="AK10" i="31"/>
  <c r="AK20" i="31" s="1"/>
  <c r="AK17" i="31"/>
  <c r="AK11" i="31"/>
  <c r="AK21" i="31" s="1"/>
  <c r="AK7" i="31"/>
  <c r="AJ27" i="31"/>
  <c r="AJ36" i="31" s="1"/>
  <c r="AJ19" i="31"/>
  <c r="AV50" i="31"/>
  <c r="AV51" i="31"/>
  <c r="AJ15" i="31"/>
  <c r="AJ24" i="31"/>
  <c r="AJ31" i="31"/>
  <c r="AJ40" i="31" s="1"/>
  <c r="E40" i="52" l="1"/>
  <c r="AK33" i="31"/>
  <c r="AW50" i="31"/>
  <c r="AW51" i="31"/>
  <c r="AP39" i="31"/>
  <c r="AK32" i="31"/>
  <c r="AK41" i="31" s="1"/>
  <c r="E39" i="52"/>
  <c r="AK31" i="31"/>
  <c r="AK40" i="31" s="1"/>
  <c r="AK24" i="31"/>
  <c r="E42" i="52" s="1"/>
  <c r="AK15" i="31"/>
  <c r="T45" i="39"/>
  <c r="T56" i="31"/>
  <c r="AK28" i="31"/>
  <c r="E41" i="52"/>
  <c r="AK27" i="31"/>
  <c r="AK19" i="31"/>
  <c r="E38" i="52" s="1"/>
  <c r="AL11" i="31"/>
  <c r="AL21" i="31" s="1"/>
  <c r="AL33" i="31" s="1"/>
  <c r="AL42" i="31" s="1"/>
  <c r="AL10" i="31"/>
  <c r="AL20" i="31" s="1"/>
  <c r="AL32" i="31" s="1"/>
  <c r="AL41" i="31" s="1"/>
  <c r="AM5" i="31"/>
  <c r="AL14" i="31"/>
  <c r="AL12" i="31"/>
  <c r="AL22" i="31" s="1"/>
  <c r="AL28" i="31" s="1"/>
  <c r="AL13" i="31"/>
  <c r="AL9" i="31"/>
  <c r="AL7" i="31"/>
  <c r="AL17" i="31"/>
  <c r="AQ30" i="31"/>
  <c r="AQ39" i="31" s="1"/>
  <c r="AK23" i="31"/>
  <c r="AR30" i="31" l="1"/>
  <c r="AR39" i="31" s="1"/>
  <c r="AL23" i="31"/>
  <c r="AL37" i="31"/>
  <c r="AK42" i="31"/>
  <c r="D74" i="31" s="1"/>
  <c r="K24" i="30" s="1"/>
  <c r="D67" i="31"/>
  <c r="K4" i="30" s="1"/>
  <c r="AL31" i="31"/>
  <c r="AL15" i="31"/>
  <c r="AL24" i="31"/>
  <c r="AL27" i="31"/>
  <c r="AL19" i="31"/>
  <c r="AN5" i="31"/>
  <c r="AM14" i="31"/>
  <c r="AM9" i="31"/>
  <c r="AM12" i="31"/>
  <c r="AM22" i="31" s="1"/>
  <c r="AM28" i="31" s="1"/>
  <c r="AM37" i="31" s="1"/>
  <c r="AM11" i="31"/>
  <c r="AM21" i="31" s="1"/>
  <c r="AM33" i="31" s="1"/>
  <c r="AM42" i="31" s="1"/>
  <c r="AM13" i="31"/>
  <c r="AM10" i="31"/>
  <c r="AM20" i="31" s="1"/>
  <c r="AM32" i="31" s="1"/>
  <c r="AM41" i="31" s="1"/>
  <c r="AM17" i="31"/>
  <c r="AM7" i="31"/>
  <c r="AK36" i="31"/>
  <c r="D70" i="31" s="1"/>
  <c r="K25" i="30" s="1"/>
  <c r="D63" i="31"/>
  <c r="AK37" i="31"/>
  <c r="D71" i="31" s="1"/>
  <c r="K30" i="30" s="1"/>
  <c r="D64" i="31"/>
  <c r="K10" i="30" s="1"/>
  <c r="U45" i="39"/>
  <c r="U56" i="31"/>
  <c r="AM27" i="31" l="1"/>
  <c r="AM36" i="31" s="1"/>
  <c r="AM19" i="31"/>
  <c r="AL36" i="31"/>
  <c r="K12" i="30"/>
  <c r="K87" i="30" s="1"/>
  <c r="AO5" i="31"/>
  <c r="AN10" i="31"/>
  <c r="AN20" i="31" s="1"/>
  <c r="AN32" i="31" s="1"/>
  <c r="AN41" i="31" s="1"/>
  <c r="AN14" i="31"/>
  <c r="AN9" i="31"/>
  <c r="AN12" i="31"/>
  <c r="AN22" i="31" s="1"/>
  <c r="AN28" i="31" s="1"/>
  <c r="AN37" i="31" s="1"/>
  <c r="AN11" i="31"/>
  <c r="AN21" i="31" s="1"/>
  <c r="AN33" i="31" s="1"/>
  <c r="AN42" i="31" s="1"/>
  <c r="AN17" i="31"/>
  <c r="AN13" i="31"/>
  <c r="AN7" i="31"/>
  <c r="V45" i="39"/>
  <c r="V56" i="31"/>
  <c r="K35" i="30"/>
  <c r="E37" i="54" s="1"/>
  <c r="K32" i="30"/>
  <c r="AL40" i="31"/>
  <c r="K5" i="30"/>
  <c r="K7" i="30" s="1"/>
  <c r="D79" i="31"/>
  <c r="AS30" i="31"/>
  <c r="AM23" i="31"/>
  <c r="AM24" i="31"/>
  <c r="AM15" i="31"/>
  <c r="AM31" i="31"/>
  <c r="AM40" i="31" s="1"/>
  <c r="K27" i="30"/>
  <c r="K63" i="44" l="1"/>
  <c r="K65" i="44" s="1"/>
  <c r="K48" i="30"/>
  <c r="L7" i="30" s="1"/>
  <c r="K109" i="30"/>
  <c r="AT30" i="31"/>
  <c r="AT39" i="31" s="1"/>
  <c r="AN23" i="31"/>
  <c r="AN19" i="31"/>
  <c r="AN27" i="31"/>
  <c r="K112" i="30"/>
  <c r="AO13" i="31"/>
  <c r="AP5" i="31"/>
  <c r="AO14" i="31"/>
  <c r="AO12" i="31"/>
  <c r="AO22" i="31" s="1"/>
  <c r="AO28" i="31" s="1"/>
  <c r="AO9" i="31"/>
  <c r="AO11" i="31"/>
  <c r="AO21" i="31" s="1"/>
  <c r="AO33" i="31" s="1"/>
  <c r="AO42" i="31" s="1"/>
  <c r="AO10" i="31"/>
  <c r="AO20" i="31" s="1"/>
  <c r="AO32" i="31" s="1"/>
  <c r="AO41" i="31" s="1"/>
  <c r="AO17" i="31"/>
  <c r="AO7" i="31"/>
  <c r="W45" i="39"/>
  <c r="W56" i="31"/>
  <c r="K88" i="30"/>
  <c r="AN31" i="31"/>
  <c r="AN40" i="31" s="1"/>
  <c r="AN15" i="31"/>
  <c r="AN24" i="31"/>
  <c r="AS39" i="31"/>
  <c r="K69" i="44" l="1"/>
  <c r="K76" i="44" s="1"/>
  <c r="K78" i="44" s="1"/>
  <c r="L5" i="30"/>
  <c r="L32" i="30"/>
  <c r="L27" i="30"/>
  <c r="X45" i="39"/>
  <c r="X56" i="31"/>
  <c r="AO15" i="31"/>
  <c r="AO24" i="31"/>
  <c r="AO31" i="31"/>
  <c r="AO40" i="31" s="1"/>
  <c r="AP11" i="31"/>
  <c r="AP21" i="31" s="1"/>
  <c r="AP33" i="31" s="1"/>
  <c r="AP42" i="31" s="1"/>
  <c r="AP10" i="31"/>
  <c r="AP20" i="31" s="1"/>
  <c r="AP32" i="31" s="1"/>
  <c r="AP41" i="31" s="1"/>
  <c r="AP9" i="31"/>
  <c r="AP13" i="31"/>
  <c r="AP17" i="31"/>
  <c r="AQ5" i="31"/>
  <c r="AP12" i="31"/>
  <c r="AP22" i="31" s="1"/>
  <c r="AP28" i="31" s="1"/>
  <c r="AP37" i="31" s="1"/>
  <c r="AP7" i="31"/>
  <c r="AP14" i="31"/>
  <c r="AO27" i="31"/>
  <c r="AO36" i="31" s="1"/>
  <c r="AO19" i="31"/>
  <c r="AU30" i="31"/>
  <c r="AU39" i="31" s="1"/>
  <c r="AO23" i="31"/>
  <c r="K115" i="30"/>
  <c r="AO37" i="31"/>
  <c r="AN36" i="31"/>
  <c r="L12" i="30"/>
  <c r="L6" i="30"/>
  <c r="L45" i="30"/>
  <c r="L40" i="30"/>
  <c r="K55" i="30"/>
  <c r="I21" i="48"/>
  <c r="L11" i="30"/>
  <c r="L26" i="30"/>
  <c r="L31" i="30"/>
  <c r="R29" i="44"/>
  <c r="J15" i="44" s="1"/>
  <c r="L20" i="30"/>
  <c r="L44" i="30"/>
  <c r="L9" i="30"/>
  <c r="L29" i="30"/>
  <c r="L30" i="30"/>
  <c r="L10" i="30"/>
  <c r="L25" i="30"/>
  <c r="L4" i="30"/>
  <c r="L24" i="30"/>
  <c r="K71" i="44" l="1"/>
  <c r="AR5" i="31"/>
  <c r="AQ14" i="31"/>
  <c r="AQ9" i="31"/>
  <c r="AQ12" i="31"/>
  <c r="AQ22" i="31" s="1"/>
  <c r="AQ28" i="31" s="1"/>
  <c r="AQ11" i="31"/>
  <c r="AQ21" i="31" s="1"/>
  <c r="AQ33" i="31" s="1"/>
  <c r="AQ42" i="31" s="1"/>
  <c r="AQ13" i="31"/>
  <c r="AQ10" i="31"/>
  <c r="AQ20" i="31" s="1"/>
  <c r="AQ32" i="31" s="1"/>
  <c r="AQ41" i="31" s="1"/>
  <c r="AQ7" i="31"/>
  <c r="AQ17" i="31"/>
  <c r="AB48" i="31"/>
  <c r="AB55" i="31" s="1"/>
  <c r="AE48" i="31"/>
  <c r="AE55" i="31" s="1"/>
  <c r="Z48" i="31"/>
  <c r="Z55" i="31" s="1"/>
  <c r="E38" i="54"/>
  <c r="AG48" i="31"/>
  <c r="AG55" i="31" s="1"/>
  <c r="AF48" i="31"/>
  <c r="AF55" i="31" s="1"/>
  <c r="AI48" i="31"/>
  <c r="AI55" i="31" s="1"/>
  <c r="AD48" i="31"/>
  <c r="AD55" i="31" s="1"/>
  <c r="AH48" i="31"/>
  <c r="AH55" i="31" s="1"/>
  <c r="K43" i="30"/>
  <c r="AA48" i="31"/>
  <c r="AA55" i="31" s="1"/>
  <c r="AK48" i="31"/>
  <c r="AK55" i="31" s="1"/>
  <c r="AC48" i="31"/>
  <c r="AC55" i="31" s="1"/>
  <c r="AJ48" i="31"/>
  <c r="AJ55" i="31" s="1"/>
  <c r="AV30" i="31"/>
  <c r="AV39" i="31" s="1"/>
  <c r="AP23" i="31"/>
  <c r="Y45" i="39"/>
  <c r="Y56" i="31"/>
  <c r="Z45" i="39" s="1"/>
  <c r="AP31" i="31"/>
  <c r="AP15" i="31"/>
  <c r="AP24" i="31"/>
  <c r="AP27" i="31"/>
  <c r="AP19" i="31"/>
  <c r="K46" i="30" l="1"/>
  <c r="L43" i="30"/>
  <c r="AQ37" i="31"/>
  <c r="AP40" i="31"/>
  <c r="AQ27" i="31"/>
  <c r="AQ36" i="31" s="1"/>
  <c r="AQ19" i="31"/>
  <c r="AP36" i="31"/>
  <c r="AW30" i="31"/>
  <c r="AQ23" i="31"/>
  <c r="AQ24" i="31"/>
  <c r="AQ31" i="31"/>
  <c r="AQ40" i="31" s="1"/>
  <c r="AQ15" i="31"/>
  <c r="Z56" i="31"/>
  <c r="AA45" i="39" s="1"/>
  <c r="AS5" i="31"/>
  <c r="AR10" i="31"/>
  <c r="AR20" i="31" s="1"/>
  <c r="AR32" i="31" s="1"/>
  <c r="AR41" i="31" s="1"/>
  <c r="AR14" i="31"/>
  <c r="AR9" i="31"/>
  <c r="AR12" i="31"/>
  <c r="AR22" i="31" s="1"/>
  <c r="AR28" i="31" s="1"/>
  <c r="AR37" i="31" s="1"/>
  <c r="AR11" i="31"/>
  <c r="AR21" i="31" s="1"/>
  <c r="AR33" i="31" s="1"/>
  <c r="AR42" i="31" s="1"/>
  <c r="AR13" i="31"/>
  <c r="AR23" i="31" s="1"/>
  <c r="AR17" i="31"/>
  <c r="AR7" i="31"/>
  <c r="AA56" i="31" l="1"/>
  <c r="AS9" i="31"/>
  <c r="AT5" i="31"/>
  <c r="AS14" i="31"/>
  <c r="AS12" i="31"/>
  <c r="AS22" i="31" s="1"/>
  <c r="AS28" i="31" s="1"/>
  <c r="AS37" i="31" s="1"/>
  <c r="AS10" i="31"/>
  <c r="AS20" i="31" s="1"/>
  <c r="AS32" i="31" s="1"/>
  <c r="AS41" i="31" s="1"/>
  <c r="AS7" i="31"/>
  <c r="AS11" i="31"/>
  <c r="AS21" i="31" s="1"/>
  <c r="AS33" i="31" s="1"/>
  <c r="AS42" i="31" s="1"/>
  <c r="AS17" i="31"/>
  <c r="AS13" i="31"/>
  <c r="AS23" i="31" s="1"/>
  <c r="AR19" i="31"/>
  <c r="AR27" i="31"/>
  <c r="L46" i="30"/>
  <c r="K49" i="30"/>
  <c r="K51" i="30" s="1"/>
  <c r="AR31" i="31"/>
  <c r="AR40" i="31" s="1"/>
  <c r="AR24" i="31"/>
  <c r="AR15" i="31"/>
  <c r="AW39" i="31"/>
  <c r="AX30" i="31"/>
  <c r="E66" i="31"/>
  <c r="M9" i="30" s="1"/>
  <c r="L64" i="44" s="1"/>
  <c r="AB45" i="39" l="1"/>
  <c r="AB56" i="31"/>
  <c r="AR36" i="31"/>
  <c r="AS31" i="31"/>
  <c r="AS40" i="31" s="1"/>
  <c r="AS15" i="31"/>
  <c r="AS24" i="31"/>
  <c r="K53" i="30"/>
  <c r="I22" i="48"/>
  <c r="R30" i="44"/>
  <c r="AT11" i="31"/>
  <c r="AT21" i="31" s="1"/>
  <c r="AT33" i="31" s="1"/>
  <c r="AT42" i="31" s="1"/>
  <c r="AT10" i="31"/>
  <c r="AT20" i="31" s="1"/>
  <c r="AT32" i="31" s="1"/>
  <c r="AT41" i="31" s="1"/>
  <c r="AU5" i="31"/>
  <c r="AT14" i="31"/>
  <c r="AT12" i="31"/>
  <c r="AT22" i="31" s="1"/>
  <c r="AT28" i="31" s="1"/>
  <c r="AT37" i="31" s="1"/>
  <c r="AT13" i="31"/>
  <c r="AT23" i="31" s="1"/>
  <c r="AT9" i="31"/>
  <c r="AT17" i="31"/>
  <c r="AT7" i="31"/>
  <c r="AX39" i="31"/>
  <c r="AY39" i="31" s="1"/>
  <c r="E73" i="31"/>
  <c r="M29" i="30" s="1"/>
  <c r="L70" i="44" s="1"/>
  <c r="AS27" i="31"/>
  <c r="AS36" i="31" s="1"/>
  <c r="AS19" i="31"/>
  <c r="AC45" i="39" l="1"/>
  <c r="AC56" i="31"/>
  <c r="M34" i="30"/>
  <c r="F36" i="54" s="1"/>
  <c r="AT31" i="31"/>
  <c r="AT40" i="31" s="1"/>
  <c r="AT24" i="31"/>
  <c r="AT15" i="31"/>
  <c r="O64" i="44"/>
  <c r="AT19" i="31"/>
  <c r="AT27" i="31"/>
  <c r="AT36" i="31" s="1"/>
  <c r="AV5" i="31"/>
  <c r="AU14" i="31"/>
  <c r="AU9" i="31"/>
  <c r="AU12" i="31"/>
  <c r="AU22" i="31" s="1"/>
  <c r="AU28" i="31" s="1"/>
  <c r="AU37" i="31" s="1"/>
  <c r="AU11" i="31"/>
  <c r="AU21" i="31" s="1"/>
  <c r="AU33" i="31" s="1"/>
  <c r="AU42" i="31" s="1"/>
  <c r="AU10" i="31"/>
  <c r="AU20" i="31" s="1"/>
  <c r="AU32" i="31" s="1"/>
  <c r="AU41" i="31" s="1"/>
  <c r="AU13" i="31"/>
  <c r="AU23" i="31" s="1"/>
  <c r="AU7" i="31"/>
  <c r="AU17" i="31"/>
  <c r="AD45" i="39" l="1"/>
  <c r="AD56" i="31"/>
  <c r="AU24" i="31"/>
  <c r="AU15" i="31"/>
  <c r="AU31" i="31"/>
  <c r="AU40" i="31" s="1"/>
  <c r="AU19" i="31"/>
  <c r="AU27" i="31"/>
  <c r="AU36" i="31" s="1"/>
  <c r="AW5" i="31"/>
  <c r="AV10" i="31"/>
  <c r="AV20" i="31" s="1"/>
  <c r="AV32" i="31" s="1"/>
  <c r="AV41" i="31" s="1"/>
  <c r="AV14" i="31"/>
  <c r="AV9" i="31"/>
  <c r="AV12" i="31"/>
  <c r="AV22" i="31" s="1"/>
  <c r="AV28" i="31" s="1"/>
  <c r="AV37" i="31" s="1"/>
  <c r="AV11" i="31"/>
  <c r="AV21" i="31" s="1"/>
  <c r="AV33" i="31" s="1"/>
  <c r="AV42" i="31" s="1"/>
  <c r="AV13" i="31"/>
  <c r="AV23" i="31" s="1"/>
  <c r="AV7" i="31"/>
  <c r="AV17" i="31"/>
  <c r="L77" i="44"/>
  <c r="O70" i="44"/>
  <c r="P70" i="44" s="1"/>
  <c r="AE56" i="31" l="1"/>
  <c r="AE45" i="39"/>
  <c r="AV27" i="31"/>
  <c r="AV36" i="31" s="1"/>
  <c r="AV19" i="31"/>
  <c r="AW11" i="31"/>
  <c r="AW14" i="31"/>
  <c r="AW12" i="31"/>
  <c r="AW9" i="31"/>
  <c r="AW7" i="31"/>
  <c r="AW13" i="31"/>
  <c r="AW10" i="31"/>
  <c r="AW17" i="31"/>
  <c r="AV31" i="31"/>
  <c r="AV40" i="31" s="1"/>
  <c r="AV24" i="31"/>
  <c r="AV15" i="31"/>
  <c r="AF45" i="39" l="1"/>
  <c r="AF56" i="31"/>
  <c r="AW27" i="31"/>
  <c r="AW19" i="31"/>
  <c r="AX9" i="31"/>
  <c r="AX13" i="31"/>
  <c r="AW23" i="31"/>
  <c r="AX23" i="31" s="1"/>
  <c r="AW24" i="31"/>
  <c r="AW15" i="31"/>
  <c r="AX14" i="31"/>
  <c r="AW31" i="31"/>
  <c r="AW21" i="31"/>
  <c r="AX11" i="31"/>
  <c r="AW20" i="31"/>
  <c r="AX10" i="31"/>
  <c r="AW22" i="31"/>
  <c r="AX12" i="31"/>
  <c r="AG56" i="31" l="1"/>
  <c r="AG45" i="39"/>
  <c r="F41" i="52"/>
  <c r="AX22" i="31"/>
  <c r="AW28" i="31"/>
  <c r="F40" i="52"/>
  <c r="AX21" i="31"/>
  <c r="AW33" i="31"/>
  <c r="F42" i="52"/>
  <c r="AX24" i="31"/>
  <c r="AX20" i="31"/>
  <c r="F39" i="52"/>
  <c r="AW32" i="31"/>
  <c r="AY44" i="31"/>
  <c r="AY45" i="31"/>
  <c r="AX19" i="31"/>
  <c r="F38" i="52"/>
  <c r="AW40" i="31"/>
  <c r="AX40" i="31" s="1"/>
  <c r="AX31" i="31"/>
  <c r="AW36" i="31"/>
  <c r="AX27" i="31"/>
  <c r="E63" i="31"/>
  <c r="AY40" i="31" l="1"/>
  <c r="AH45" i="39"/>
  <c r="AH56" i="31"/>
  <c r="AX36" i="31"/>
  <c r="AY36" i="31" s="1"/>
  <c r="E70" i="31"/>
  <c r="M25" i="30" s="1"/>
  <c r="AW41" i="31"/>
  <c r="AX41" i="31" s="1"/>
  <c r="AX32" i="31"/>
  <c r="AW37" i="31"/>
  <c r="AX28" i="31"/>
  <c r="E64" i="31"/>
  <c r="M10" i="30" s="1"/>
  <c r="M5" i="30"/>
  <c r="AW42" i="31"/>
  <c r="AX33" i="31"/>
  <c r="E67" i="31"/>
  <c r="M4" i="30" s="1"/>
  <c r="AY41" i="31" l="1"/>
  <c r="AI56" i="31"/>
  <c r="AI45" i="39"/>
  <c r="M12" i="30"/>
  <c r="AX42" i="31"/>
  <c r="AY42" i="31" s="1"/>
  <c r="E74" i="31"/>
  <c r="M24" i="30" s="1"/>
  <c r="AX37" i="31"/>
  <c r="AY37" i="31" s="1"/>
  <c r="E71" i="31"/>
  <c r="M30" i="30" s="1"/>
  <c r="L63" i="44"/>
  <c r="M7" i="30"/>
  <c r="E79" i="31" l="1"/>
  <c r="AJ45" i="39"/>
  <c r="AJ56" i="31"/>
  <c r="L65" i="44"/>
  <c r="O65" i="44" s="1"/>
  <c r="O63" i="44"/>
  <c r="M27" i="30"/>
  <c r="M87" i="30"/>
  <c r="K123" i="30"/>
  <c r="M109" i="30"/>
  <c r="M48" i="30"/>
  <c r="N30" i="30" s="1"/>
  <c r="L123" i="30"/>
  <c r="M35" i="30"/>
  <c r="F37" i="54" s="1"/>
  <c r="M32" i="30"/>
  <c r="N7" i="30" l="1"/>
  <c r="AK56" i="31"/>
  <c r="AL45" i="39" s="1"/>
  <c r="AK45" i="39"/>
  <c r="M112" i="30"/>
  <c r="M115" i="30" s="1"/>
  <c r="N27" i="30"/>
  <c r="M88" i="30"/>
  <c r="N32" i="30"/>
  <c r="N12" i="30"/>
  <c r="S29" i="44"/>
  <c r="K15" i="44" s="1"/>
  <c r="N6" i="30"/>
  <c r="J21" i="48"/>
  <c r="N44" i="30"/>
  <c r="M55" i="30"/>
  <c r="N11" i="30"/>
  <c r="N26" i="30"/>
  <c r="N40" i="30"/>
  <c r="N20" i="30"/>
  <c r="N45" i="30"/>
  <c r="N31" i="30"/>
  <c r="N9" i="30"/>
  <c r="N29" i="30"/>
  <c r="N10" i="30"/>
  <c r="N5" i="30"/>
  <c r="N4" i="30"/>
  <c r="N25" i="30"/>
  <c r="N24" i="30"/>
  <c r="L69" i="44"/>
  <c r="M43" i="30" l="1"/>
  <c r="AO48" i="31"/>
  <c r="AO55" i="31" s="1"/>
  <c r="AS48" i="31"/>
  <c r="AS55" i="31" s="1"/>
  <c r="AW48" i="31"/>
  <c r="AW55" i="31" s="1"/>
  <c r="AM48" i="31"/>
  <c r="AM55" i="31" s="1"/>
  <c r="AL48" i="31"/>
  <c r="AL55" i="31" s="1"/>
  <c r="AP48" i="31"/>
  <c r="AP55" i="31" s="1"/>
  <c r="AT48" i="31"/>
  <c r="AT55" i="31" s="1"/>
  <c r="F38" i="54"/>
  <c r="AQ48" i="31"/>
  <c r="AQ55" i="31" s="1"/>
  <c r="AN48" i="31"/>
  <c r="AN55" i="31" s="1"/>
  <c r="AR48" i="31"/>
  <c r="AR55" i="31" s="1"/>
  <c r="AV48" i="31"/>
  <c r="AV55" i="31" s="1"/>
  <c r="AU48" i="31"/>
  <c r="AU55" i="31" s="1"/>
  <c r="L76" i="44"/>
  <c r="L78" i="44" s="1"/>
  <c r="K27" i="44" s="1"/>
  <c r="J26" i="48" s="1"/>
  <c r="L71" i="44"/>
  <c r="O71" i="44" s="1"/>
  <c r="P71" i="44" s="1"/>
  <c r="O69" i="44"/>
  <c r="P69" i="44" s="1"/>
  <c r="H60" i="31" l="1"/>
  <c r="AL56" i="31"/>
  <c r="AM56" i="31" s="1"/>
  <c r="AN45" i="39" s="1"/>
  <c r="M46" i="30"/>
  <c r="N43" i="30"/>
  <c r="AM45" i="39" l="1"/>
  <c r="N46" i="30"/>
  <c r="M49" i="30"/>
  <c r="M51" i="30" s="1"/>
  <c r="AN56" i="31"/>
  <c r="J22" i="48" l="1"/>
  <c r="S30" i="44"/>
  <c r="M53" i="30"/>
  <c r="AO45" i="39"/>
  <c r="AO56" i="31"/>
  <c r="AP45" i="39" l="1"/>
  <c r="AP56" i="31"/>
  <c r="AQ45" i="39" l="1"/>
  <c r="AQ56" i="31"/>
  <c r="AR45" i="39" l="1"/>
  <c r="AR56" i="31"/>
  <c r="AS45" i="39" l="1"/>
  <c r="AS56" i="31"/>
  <c r="AT45" i="39" l="1"/>
  <c r="AT56" i="31"/>
  <c r="AU45" i="39" l="1"/>
  <c r="AU56" i="31"/>
  <c r="AV45" i="39" l="1"/>
  <c r="AV56" i="31"/>
  <c r="AW45" i="39" l="1"/>
  <c r="AW56" i="31"/>
  <c r="AX45" i="39" l="1"/>
  <c r="J33" i="39"/>
</calcChain>
</file>

<file path=xl/comments1.xml><?xml version="1.0" encoding="utf-8"?>
<comments xmlns="http://schemas.openxmlformats.org/spreadsheetml/2006/main">
  <authors>
    <author>Dana Willmer</author>
  </authors>
  <commentList>
    <comment ref="G2" authorId="0" shapeId="0">
      <text>
        <r>
          <rPr>
            <b/>
            <sz val="9"/>
            <color indexed="81"/>
            <rFont val="Tahoma"/>
            <family val="2"/>
          </rPr>
          <t>When you sell Office 365, what will you charge to migrate each mailbox, in addition to the project fees on the left, if anything?</t>
        </r>
      </text>
    </comment>
    <comment ref="K2" authorId="0" shapeId="0">
      <text>
        <r>
          <rPr>
            <b/>
            <sz val="9"/>
            <color indexed="81"/>
            <rFont val="Tahoma"/>
            <family val="2"/>
          </rPr>
          <t>What is the retail price to the customer for Office 365, per user per month?</t>
        </r>
      </text>
    </comment>
    <comment ref="G4" authorId="0" shapeId="0">
      <text>
        <r>
          <rPr>
            <b/>
            <sz val="9"/>
            <color indexed="81"/>
            <rFont val="Tahoma"/>
            <family val="2"/>
          </rPr>
          <t>When you sell Office 365, what will it cost you to migrate each mailbox, if not already included in the Upfront Project Services Fees to the left?</t>
        </r>
      </text>
    </comment>
    <comment ref="C7" authorId="0" shapeId="0">
      <text>
        <r>
          <rPr>
            <b/>
            <sz val="9"/>
            <color indexed="81"/>
            <rFont val="Tahoma"/>
            <family val="2"/>
          </rPr>
          <t>What will your average deal size be, in terms of overall 
users?</t>
        </r>
      </text>
    </comment>
    <comment ref="G8" authorId="0" shapeId="0">
      <text>
        <r>
          <rPr>
            <b/>
            <sz val="9"/>
            <color indexed="81"/>
            <rFont val="Tahoma"/>
            <family val="2"/>
          </rPr>
          <t>What is the retail price to the customer for CRM Online, per user per month?</t>
        </r>
      </text>
    </comment>
    <comment ref="K8" authorId="0" shapeId="0">
      <text>
        <r>
          <rPr>
            <b/>
            <sz val="9"/>
            <color indexed="81"/>
            <rFont val="Tahoma"/>
            <family val="2"/>
          </rPr>
          <t>From a valuation perspective, what do you consider an appropriate multiplier for recurring margin?</t>
        </r>
      </text>
    </comment>
    <comment ref="K9" authorId="0" shapeId="0">
      <text>
        <r>
          <rPr>
            <b/>
            <sz val="9"/>
            <color indexed="81"/>
            <rFont val="Tahoma"/>
            <family val="2"/>
          </rPr>
          <t>From a valuation perspective, what do you consider an appropriate multiplier for non-recurring margin?</t>
        </r>
      </text>
    </comment>
    <comment ref="C11" authorId="0" shapeId="0">
      <text>
        <r>
          <rPr>
            <b/>
            <sz val="9"/>
            <color indexed="81"/>
            <rFont val="Tahoma"/>
            <family val="2"/>
          </rPr>
          <t>Of the above overall users, how many will also be CRM users?</t>
        </r>
      </text>
    </comment>
    <comment ref="G13" authorId="0" shapeId="0">
      <text>
        <r>
          <rPr>
            <b/>
            <sz val="9"/>
            <color indexed="81"/>
            <rFont val="Tahoma"/>
            <family val="2"/>
          </rPr>
          <t>How many customers do you anticipate adding in year 1?</t>
        </r>
      </text>
    </comment>
    <comment ref="H13" authorId="0" shapeId="0">
      <text>
        <r>
          <rPr>
            <b/>
            <sz val="9"/>
            <color indexed="81"/>
            <rFont val="Tahoma"/>
            <family val="2"/>
          </rPr>
          <t>How many customers do you anticipate adding in year 2?</t>
        </r>
      </text>
    </comment>
    <comment ref="J13" authorId="0" shapeId="0">
      <text>
        <r>
          <rPr>
            <b/>
            <sz val="9"/>
            <color indexed="81"/>
            <rFont val="Tahoma"/>
            <family val="2"/>
          </rPr>
          <t>How many customers do you anticipate adding in year 3?</t>
        </r>
      </text>
    </comment>
    <comment ref="K13" authorId="0" shapeId="0">
      <text>
        <r>
          <rPr>
            <b/>
            <sz val="9"/>
            <color indexed="81"/>
            <rFont val="Tahoma"/>
            <family val="2"/>
          </rPr>
          <t>How many customers do you anticipate adding in year 4?</t>
        </r>
      </text>
    </comment>
    <comment ref="G15" authorId="0" shapeId="0">
      <text>
        <r>
          <rPr>
            <b/>
            <sz val="9"/>
            <color indexed="81"/>
            <rFont val="Tahoma"/>
            <family val="2"/>
          </rPr>
          <t>Given your customer add assumptions, what sales and marketing costs will you have, in year 1?</t>
        </r>
      </text>
    </comment>
    <comment ref="H15" authorId="0" shapeId="0">
      <text>
        <r>
          <rPr>
            <b/>
            <sz val="9"/>
            <color indexed="81"/>
            <rFont val="Tahoma"/>
            <family val="2"/>
          </rPr>
          <t>Given your customer add assumptions, what sales and marketing costs will you have, in year 2?</t>
        </r>
      </text>
    </comment>
    <comment ref="J15" authorId="0" shapeId="0">
      <text>
        <r>
          <rPr>
            <b/>
            <sz val="9"/>
            <color indexed="81"/>
            <rFont val="Tahoma"/>
            <family val="2"/>
          </rPr>
          <t>Given your customer add assumptions in years 1 through 3, what sales and marketing costs will you have, in year 3?</t>
        </r>
      </text>
    </comment>
    <comment ref="K15" authorId="0" shapeId="0">
      <text>
        <r>
          <rPr>
            <b/>
            <sz val="9"/>
            <color indexed="81"/>
            <rFont val="Tahoma"/>
            <family val="2"/>
          </rPr>
          <t>Given your customer add assumptions in years 1 through 4, what sales and marketing costs will you have, in year 4?</t>
        </r>
      </text>
    </comment>
    <comment ref="C17" authorId="0" shapeId="0">
      <text>
        <r>
          <rPr>
            <b/>
            <sz val="9"/>
            <color indexed="81"/>
            <rFont val="Tahoma"/>
            <family val="2"/>
          </rPr>
          <t>For new deals, what do you expect to charge in terms of upfront implementation fees?</t>
        </r>
      </text>
    </comment>
    <comment ref="C18" authorId="0" shapeId="0">
      <text>
        <r>
          <rPr>
            <b/>
            <sz val="9"/>
            <color indexed="81"/>
            <rFont val="Tahoma"/>
            <family val="2"/>
          </rPr>
          <t>For new deals, what do you expect to charge in terms of ongoing project fees, per year?</t>
        </r>
      </text>
    </comment>
    <comment ref="G18" authorId="0" shapeId="0">
      <text>
        <r>
          <rPr>
            <b/>
            <sz val="9"/>
            <color indexed="81"/>
            <rFont val="Tahoma"/>
            <family val="2"/>
          </rPr>
          <t>Given your customer add assumptions above, what incremental fixed investments will you have to make, in year 1?</t>
        </r>
      </text>
    </comment>
    <comment ref="H18" authorId="0" shapeId="0">
      <text>
        <r>
          <rPr>
            <b/>
            <sz val="9"/>
            <color indexed="81"/>
            <rFont val="Tahoma"/>
            <family val="2"/>
          </rPr>
          <t>Given your customer add assumptions above, what incremental fixed investments will you have to make, in year 2?</t>
        </r>
      </text>
    </comment>
    <comment ref="J18" authorId="0" shapeId="0">
      <text>
        <r>
          <rPr>
            <b/>
            <sz val="9"/>
            <color indexed="81"/>
            <rFont val="Tahoma"/>
            <family val="2"/>
          </rPr>
          <t>Given your customer add assumptions above, what incremental fixed investments will you have to make, in year 3?</t>
        </r>
      </text>
    </comment>
    <comment ref="K18" authorId="0" shapeId="0">
      <text>
        <r>
          <rPr>
            <b/>
            <sz val="9"/>
            <color indexed="81"/>
            <rFont val="Tahoma"/>
            <family val="2"/>
          </rPr>
          <t>Given your customer add assumptions above, what incremental fixed investments will you have to make, in year 4?</t>
        </r>
      </text>
    </comment>
    <comment ref="C19" authorId="0" shapeId="0">
      <text>
        <r>
          <rPr>
            <b/>
            <sz val="9"/>
            <color indexed="81"/>
            <rFont val="Tahoma"/>
            <family val="2"/>
          </rPr>
          <t>For new deals, what do you expect to sell in terms of devices, per user?</t>
        </r>
      </text>
    </comment>
    <comment ref="C20" authorId="0" shapeId="0">
      <text>
        <r>
          <rPr>
            <b/>
            <sz val="9"/>
            <color indexed="81"/>
            <rFont val="Tahoma"/>
            <family val="2"/>
          </rPr>
          <t>For new deals, what do you expect to drive in terms of Azure consumption, per year?</t>
        </r>
      </text>
    </comment>
    <comment ref="C21" authorId="0" shapeId="0">
      <text>
        <r>
          <rPr>
            <b/>
            <sz val="9"/>
            <color indexed="81"/>
            <rFont val="Tahoma"/>
            <family val="2"/>
          </rPr>
          <t>For deals, what do you expect to charge for your own IP, per user per month?</t>
        </r>
      </text>
    </comment>
    <comment ref="F21" authorId="0" shapeId="0">
      <text>
        <r>
          <rPr>
            <b/>
            <sz val="9"/>
            <color indexed="81"/>
            <rFont val="Tahoma"/>
            <family val="2"/>
          </rPr>
          <t>What portion of your new deals will have Office 365?</t>
        </r>
      </text>
    </comment>
    <comment ref="I21" authorId="0" shapeId="0">
      <text>
        <r>
          <rPr>
            <b/>
            <sz val="9"/>
            <color indexed="81"/>
            <rFont val="Tahoma"/>
            <family val="2"/>
          </rPr>
          <t>What portion of your new deals will have CRM Online?</t>
        </r>
      </text>
    </comment>
    <comment ref="C22" authorId="0" shapeId="0">
      <text>
        <r>
          <rPr>
            <b/>
            <sz val="9"/>
            <color indexed="81"/>
            <rFont val="Tahoma"/>
            <family val="2"/>
          </rPr>
          <t>When you provide a managed service, what will you charge, per user per month?</t>
        </r>
      </text>
    </comment>
    <comment ref="F24" authorId="0" shapeId="0">
      <text>
        <r>
          <rPr>
            <b/>
            <sz val="9"/>
            <color indexed="81"/>
            <rFont val="Tahoma"/>
            <family val="2"/>
          </rPr>
          <t>What portion of your new deals will purchase your managed service?</t>
        </r>
      </text>
    </comment>
    <comment ref="I24" authorId="0" shapeId="0">
      <text>
        <r>
          <rPr>
            <b/>
            <sz val="9"/>
            <color indexed="81"/>
            <rFont val="Tahoma"/>
            <family val="2"/>
          </rPr>
          <t>What portion of your new deals will have your own IP?</t>
        </r>
      </text>
    </comment>
    <comment ref="C26" authorId="0" shapeId="0">
      <text>
        <r>
          <rPr>
            <b/>
            <sz val="9"/>
            <color indexed="81"/>
            <rFont val="Tahoma"/>
            <family val="2"/>
          </rPr>
          <t>What is the expected ongoing margin to you from Microsoft on any Azure consumption you drive?</t>
        </r>
      </text>
    </comment>
    <comment ref="C27" authorId="0" shapeId="0">
      <text>
        <r>
          <rPr>
            <b/>
            <sz val="9"/>
            <color indexed="81"/>
            <rFont val="Tahoma"/>
            <family val="2"/>
          </rPr>
          <t>What is the expected ongoing margin to you from Microsoft for Office 365, if acquired under the Open model?</t>
        </r>
      </text>
    </comment>
    <comment ref="C28" authorId="0" shapeId="0">
      <text>
        <r>
          <rPr>
            <b/>
            <sz val="9"/>
            <color indexed="81"/>
            <rFont val="Tahoma"/>
            <family val="2"/>
          </rPr>
          <t>What is the expected ongoing margin to you from Microsoft for Office 365, if acquired under the CSP model?</t>
        </r>
      </text>
    </comment>
    <comment ref="F28" authorId="0" shapeId="0">
      <text>
        <r>
          <rPr>
            <b/>
            <sz val="9"/>
            <color indexed="81"/>
            <rFont val="Tahoma"/>
            <family val="2"/>
          </rPr>
          <t>What portion of your new deals will have the Azure usage defined in Step 1?</t>
        </r>
      </text>
    </comment>
    <comment ref="C29" authorId="0" shapeId="0">
      <text>
        <r>
          <rPr>
            <b/>
            <sz val="9"/>
            <color indexed="81"/>
            <rFont val="Tahoma"/>
            <family val="2"/>
          </rPr>
          <t>What is your expected gross margin on devices?</t>
        </r>
      </text>
    </comment>
    <comment ref="C30" authorId="0" shapeId="0">
      <text>
        <r>
          <rPr>
            <b/>
            <sz val="9"/>
            <color indexed="81"/>
            <rFont val="Tahoma"/>
            <family val="2"/>
          </rPr>
          <t>What is your expected gross margin on project services?</t>
        </r>
      </text>
    </comment>
    <comment ref="C31" authorId="0" shapeId="0">
      <text>
        <r>
          <rPr>
            <b/>
            <sz val="9"/>
            <color indexed="81"/>
            <rFont val="Tahoma"/>
            <family val="2"/>
          </rPr>
          <t>What is your expected gross margin on managed services?</t>
        </r>
      </text>
    </comment>
    <comment ref="C32" authorId="0" shapeId="0">
      <text>
        <r>
          <rPr>
            <b/>
            <sz val="9"/>
            <color indexed="81"/>
            <rFont val="Tahoma"/>
            <family val="2"/>
          </rPr>
          <t>What is your expected gross margin on any of your own IP that you sell?</t>
        </r>
      </text>
    </comment>
    <comment ref="G33" authorId="0" shapeId="0">
      <text>
        <r>
          <rPr>
            <b/>
            <sz val="9"/>
            <color indexed="81"/>
            <rFont val="Tahoma"/>
            <family val="2"/>
          </rPr>
          <t>What is the average fully loaded annual cost to you of a sales &amp; marketing resource?</t>
        </r>
      </text>
    </comment>
    <comment ref="C36" authorId="0" shapeId="0">
      <text>
        <r>
          <rPr>
            <b/>
            <sz val="9"/>
            <color indexed="81"/>
            <rFont val="Tahoma"/>
            <family val="2"/>
          </rPr>
          <t>What is the average fully loaded annual cost to you of a project services delivery resource?</t>
        </r>
      </text>
    </comment>
    <comment ref="C37" authorId="0" shapeId="0">
      <text>
        <r>
          <rPr>
            <b/>
            <sz val="9"/>
            <color indexed="81"/>
            <rFont val="Tahoma"/>
            <family val="2"/>
          </rPr>
          <t>What is the average fully loaded annual cost to you of a managed services delivery resource?</t>
        </r>
      </text>
    </comment>
    <comment ref="G90" authorId="0" shapeId="0">
      <text>
        <r>
          <rPr>
            <b/>
            <sz val="9"/>
            <color indexed="81"/>
            <rFont val="Tahoma"/>
            <family val="2"/>
          </rPr>
          <t>Given your customer add assumptions, what incremental marketing costs will you have, in year 1?</t>
        </r>
      </text>
    </comment>
    <comment ref="I90" authorId="0" shapeId="0">
      <text>
        <r>
          <rPr>
            <b/>
            <sz val="9"/>
            <color indexed="81"/>
            <rFont val="Tahoma"/>
            <family val="2"/>
          </rPr>
          <t>Given your customer add assumptions, what incremental marketing costs will you have, in year 2?</t>
        </r>
      </text>
    </comment>
    <comment ref="J90" authorId="0" shapeId="0">
      <text>
        <r>
          <rPr>
            <b/>
            <sz val="9"/>
            <color indexed="81"/>
            <rFont val="Tahoma"/>
            <family val="2"/>
          </rPr>
          <t>Given your customer add assumptions, what incremental marketing costs will you have, in year 3?</t>
        </r>
      </text>
    </comment>
    <comment ref="K90" authorId="0" shapeId="0">
      <text>
        <r>
          <rPr>
            <b/>
            <sz val="9"/>
            <color indexed="81"/>
            <rFont val="Tahoma"/>
            <family val="2"/>
          </rPr>
          <t>Given your customer add assumptions, what incremental marketing costs will you have, in year 4?</t>
        </r>
      </text>
    </comment>
  </commentList>
</comments>
</file>

<file path=xl/comments2.xml><?xml version="1.0" encoding="utf-8"?>
<comments xmlns="http://schemas.openxmlformats.org/spreadsheetml/2006/main">
  <authors>
    <author>Dana Willmer</author>
  </authors>
  <commentList>
    <comment ref="E36" authorId="0" shapeId="0">
      <text>
        <r>
          <rPr>
            <b/>
            <sz val="9"/>
            <color indexed="81"/>
            <rFont val="Tahoma"/>
            <family val="2"/>
          </rPr>
          <t>This number is a calculated value, based on other data entered. It may be changed, but with caution.</t>
        </r>
      </text>
    </comment>
    <comment ref="E37" authorId="0" shapeId="0">
      <text>
        <r>
          <rPr>
            <b/>
            <sz val="9"/>
            <color indexed="81"/>
            <rFont val="Tahoma"/>
            <family val="2"/>
          </rPr>
          <t>This number is a calculated value, based on other data entered. It may be changed, but with caution.</t>
        </r>
      </text>
    </comment>
  </commentList>
</comments>
</file>

<file path=xl/comments3.xml><?xml version="1.0" encoding="utf-8"?>
<comments xmlns="http://schemas.openxmlformats.org/spreadsheetml/2006/main">
  <authors>
    <author>Dana Willmer</author>
  </authors>
  <commentList>
    <comment ref="G4" authorId="0" shapeId="0">
      <text>
        <r>
          <rPr>
            <b/>
            <sz val="9"/>
            <color indexed="81"/>
            <rFont val="Tahoma"/>
            <family val="2"/>
          </rPr>
          <t>Given your current operating structure, what incremental G&amp;A costs (or cost reductions) do you anticipate in year 1, if any? Adjust this variable only if row 78 in the P&amp;L Shift tab seems inappropriate.</t>
        </r>
      </text>
    </comment>
    <comment ref="H4" authorId="0" shapeId="0">
      <text>
        <r>
          <rPr>
            <b/>
            <sz val="9"/>
            <color indexed="81"/>
            <rFont val="Tahoma"/>
            <family val="2"/>
          </rPr>
          <t>Given your current operating structure, what incremental G&amp;A costs (or cost reductions) do you anticipate in year 2, if any? Adjust this variable only if row 78 in the P&amp;L Shift tab seems inappropriate.</t>
        </r>
      </text>
    </comment>
    <comment ref="I4" authorId="0" shapeId="0">
      <text>
        <r>
          <rPr>
            <b/>
            <sz val="9"/>
            <color indexed="81"/>
            <rFont val="Tahoma"/>
            <family val="2"/>
          </rPr>
          <t>Given your current operating structure, what incremental G&amp;A costs (or cost reductions) do you anticipate in year 3, if any? Adjust this variable only if row 78 in the P&amp;L Shift tab seems inappropriate.</t>
        </r>
      </text>
    </comment>
    <comment ref="J4" authorId="0" shapeId="0">
      <text>
        <r>
          <rPr>
            <b/>
            <sz val="9"/>
            <color indexed="81"/>
            <rFont val="Tahoma"/>
            <family val="2"/>
          </rPr>
          <t>Given your current operating structure, what incremental G&amp;A costs (or cost reductions) do you anticipate in year 4, if any? Adjust this variable only if row 78 in the P&amp;L Shift tab seems inappropriate.</t>
        </r>
      </text>
    </comment>
    <comment ref="C5" authorId="0" shapeId="0">
      <text>
        <r>
          <rPr>
            <b/>
            <sz val="9"/>
            <color indexed="81"/>
            <rFont val="Tahoma"/>
            <family val="2"/>
          </rPr>
          <t>For every incremental new customer added, what will be the direct sales cost?</t>
        </r>
      </text>
    </comment>
    <comment ref="C6" authorId="0" shapeId="0">
      <text>
        <r>
          <rPr>
            <b/>
            <sz val="9"/>
            <color indexed="81"/>
            <rFont val="Tahoma"/>
            <family val="2"/>
          </rPr>
          <t>For every O365 seat you sell, what will be the direct sales cost?</t>
        </r>
      </text>
    </comment>
    <comment ref="C7" authorId="0" shapeId="0">
      <text>
        <r>
          <rPr>
            <b/>
            <sz val="9"/>
            <color indexed="81"/>
            <rFont val="Tahoma"/>
            <family val="2"/>
          </rPr>
          <t>For every customer subscribing to Dynamics, your own IP, O365, and/or Managed Services, what will be the ongoing annual sales cost?</t>
        </r>
      </text>
    </comment>
    <comment ref="G9" authorId="0" shapeId="0">
      <text>
        <r>
          <rPr>
            <b/>
            <sz val="9"/>
            <color indexed="81"/>
            <rFont val="Tahoma"/>
            <family val="2"/>
          </rPr>
          <t>For your subscription customer base overall, what will be the annual chrun rate? This must be expressed as a positive number (eg churn of 10% is 10%, not -10%)</t>
        </r>
      </text>
    </comment>
    <comment ref="C11" authorId="0" shapeId="0">
      <text>
        <r>
          <rPr>
            <b/>
            <sz val="9"/>
            <color indexed="81"/>
            <rFont val="Tahoma"/>
            <family val="2"/>
          </rPr>
          <t>For every incremental new customer added, what will be the direct marketing cost?</t>
        </r>
      </text>
    </comment>
    <comment ref="C12" authorId="0" shapeId="0">
      <text>
        <r>
          <rPr>
            <b/>
            <sz val="9"/>
            <color indexed="81"/>
            <rFont val="Tahoma"/>
            <family val="2"/>
          </rPr>
          <t>For every O365 seat you sell, what will be the direct marketing cost?</t>
        </r>
      </text>
    </comment>
    <comment ref="C13" authorId="0" shapeId="0">
      <text>
        <r>
          <rPr>
            <b/>
            <sz val="9"/>
            <color indexed="81"/>
            <rFont val="Tahoma"/>
            <family val="2"/>
          </rPr>
          <t>For every customer subscribing to Dynamics, your own IP, O365, and/or Managed Services, what will be the ongoing annual marketing cost?</t>
        </r>
      </text>
    </comment>
    <comment ref="C38" authorId="0" shapeId="0">
      <text>
        <r>
          <rPr>
            <b/>
            <sz val="9"/>
            <color indexed="81"/>
            <rFont val="Tahoma"/>
            <family val="2"/>
          </rPr>
          <t>Can be either a positive or negative number, depending on anticipated impact.
This will decrease or increase all revenue and cost flows associated with the traditional business, including operating expenses.</t>
        </r>
      </text>
    </comment>
    <comment ref="C39" authorId="0" shapeId="0">
      <text>
        <r>
          <rPr>
            <b/>
            <sz val="9"/>
            <color indexed="81"/>
            <rFont val="Tahoma"/>
            <family val="2"/>
          </rPr>
          <t>Can be either a positive or negative number, depending on anticipated impact</t>
        </r>
      </text>
    </comment>
    <comment ref="G41" authorId="0" shapeId="0">
      <text>
        <r>
          <rPr>
            <b/>
            <sz val="9"/>
            <color indexed="81"/>
            <rFont val="Tahoma"/>
            <family val="2"/>
          </rPr>
          <t>For your O365 customer base only, what will be the annual chrun rate? This must be expressed as a positive number (eg churn of 10% is 10%, not -10%)</t>
        </r>
      </text>
    </comment>
  </commentList>
</comments>
</file>

<file path=xl/sharedStrings.xml><?xml version="1.0" encoding="utf-8"?>
<sst xmlns="http://schemas.openxmlformats.org/spreadsheetml/2006/main" count="617" uniqueCount="455">
  <si>
    <t>Total Revenues</t>
  </si>
  <si>
    <t>Total Expenses</t>
  </si>
  <si>
    <t>Operating Margin</t>
  </si>
  <si>
    <t>Year 2</t>
  </si>
  <si>
    <t>Year 3</t>
  </si>
  <si>
    <t>Year 4</t>
  </si>
  <si>
    <t>Year 1</t>
  </si>
  <si>
    <t>% of revenue</t>
  </si>
  <si>
    <t>per annum</t>
  </si>
  <si>
    <t>per user per month</t>
  </si>
  <si>
    <t>per new customer add</t>
  </si>
  <si>
    <t>year 2</t>
  </si>
  <si>
    <t>year 3</t>
  </si>
  <si>
    <t>year 4</t>
  </si>
  <si>
    <t>Operating Expenses</t>
  </si>
  <si>
    <t>total operating expenses</t>
  </si>
  <si>
    <t>Year</t>
  </si>
  <si>
    <t>Month</t>
  </si>
  <si>
    <t>Trailing</t>
  </si>
  <si>
    <t>Year 0</t>
  </si>
  <si>
    <t>n/a</t>
  </si>
  <si>
    <t>Ongoing Sales Costs</t>
  </si>
  <si>
    <t>Ongoing Marketing Costs</t>
  </si>
  <si>
    <t>R&amp;D Costs</t>
  </si>
  <si>
    <t>year 1</t>
  </si>
  <si>
    <t>Monthly Cumulative Cash Flow</t>
  </si>
  <si>
    <t>Cloud Migration Fees</t>
  </si>
  <si>
    <t>Cloud Migration Costs</t>
  </si>
  <si>
    <t>per customer, per year</t>
  </si>
  <si>
    <t>Starting</t>
  </si>
  <si>
    <t>Ending</t>
  </si>
  <si>
    <t>total</t>
  </si>
  <si>
    <t>COGS</t>
  </si>
  <si>
    <t>OPEX</t>
  </si>
  <si>
    <t>Cloud Services</t>
  </si>
  <si>
    <t>Software Licenses (Own IP)</t>
  </si>
  <si>
    <t>O365-Related Migration Fees</t>
  </si>
  <si>
    <t>O365-Related Migration Costs</t>
  </si>
  <si>
    <t>3rd. Party Software</t>
  </si>
  <si>
    <t>Margin Structure</t>
  </si>
  <si>
    <t>p.a.</t>
  </si>
  <si>
    <t>users</t>
  </si>
  <si>
    <t>Office 365 Pricing</t>
  </si>
  <si>
    <t>Incremental Sales Fixed Costs</t>
  </si>
  <si>
    <t>Incremental Marketing Fixed Costs</t>
  </si>
  <si>
    <t>average customer</t>
  </si>
  <si>
    <t>O365 Attach Rate</t>
  </si>
  <si>
    <t>average Cloud FTE's loaded cost (professional services)</t>
  </si>
  <si>
    <t>average Cloud FTE's loaded cost (managed services)</t>
  </si>
  <si>
    <t>Monthly Cash Flow (Cloud)</t>
  </si>
  <si>
    <t>G &amp; A (inlcuding admin salaries)</t>
  </si>
  <si>
    <t>managed services revenue per user per month</t>
  </si>
  <si>
    <t>professional services revenue per customer per year</t>
  </si>
  <si>
    <t>Cloud Professional Services</t>
  </si>
  <si>
    <t>gross margin</t>
  </si>
  <si>
    <t>Cloud</t>
  </si>
  <si>
    <t>Incremental G&amp;A Costs (Cost Reductions)</t>
  </si>
  <si>
    <t>revenue</t>
  </si>
  <si>
    <t>Other</t>
  </si>
  <si>
    <t>Dynamics Perpetual Licenses</t>
  </si>
  <si>
    <t>Traditional Software</t>
  </si>
  <si>
    <t>Traditional Services</t>
  </si>
  <si>
    <t>Cloud Software</t>
  </si>
  <si>
    <t>Own IP Subscriptions</t>
  </si>
  <si>
    <t>Dynamics Subscriptions</t>
  </si>
  <si>
    <t>3rd. Party Subscriptions</t>
  </si>
  <si>
    <t>COGS (Other)</t>
  </si>
  <si>
    <t>Traditional Managed Services or Help Desk</t>
  </si>
  <si>
    <t>Traditional Professional Services</t>
  </si>
  <si>
    <t>Managed Services or Help Desk</t>
  </si>
  <si>
    <t>Other (Hardware, etc.)</t>
  </si>
  <si>
    <t>O365  Fee Structure</t>
  </si>
  <si>
    <t>Cloud Migration Fees (O365)</t>
  </si>
  <si>
    <t>New Customer Subscription Implementation Costs</t>
  </si>
  <si>
    <t>New Customer Adds (year 1)</t>
  </si>
  <si>
    <t>All Subscription Customers (year 2 onwards)</t>
  </si>
  <si>
    <t>New Customers with O365</t>
  </si>
  <si>
    <t>Traditional P&amp;L Impact</t>
  </si>
  <si>
    <t>Traditional Software &amp; Services</t>
  </si>
  <si>
    <t>total cloud new customers added</t>
  </si>
  <si>
    <t>total cloud customers supported</t>
  </si>
  <si>
    <t>total cloud users supported</t>
  </si>
  <si>
    <t>Hardware</t>
  </si>
  <si>
    <t>Services/Software Ratio (Traditional)</t>
  </si>
  <si>
    <t>Services/Software Ratio (Cloud)</t>
  </si>
  <si>
    <t>Services</t>
  </si>
  <si>
    <t>Software</t>
  </si>
  <si>
    <t>Slider Bar Calculations</t>
  </si>
  <si>
    <t>Managed Services Attach Rate</t>
  </si>
  <si>
    <t>Subscription Churn, per annum</t>
  </si>
  <si>
    <t>O365</t>
  </si>
  <si>
    <t>Managed Services</t>
  </si>
  <si>
    <t>Traditional Sales Costs (yr 0)</t>
  </si>
  <si>
    <t>Traditional Sales Cost Reduction</t>
  </si>
  <si>
    <t>Traditional Marketing Costs (yr 0)</t>
  </si>
  <si>
    <t>Traditional Marketing Costs Reduction</t>
  </si>
  <si>
    <t>G&amp;A Cost Reduction</t>
  </si>
  <si>
    <t>Own IP License Fee</t>
  </si>
  <si>
    <t>Variable Costs</t>
  </si>
  <si>
    <t>per user, one time</t>
  </si>
  <si>
    <t>Incremental Customer Add Direct Sales Costs</t>
  </si>
  <si>
    <t>Incremental Customer Add Direct Marketing Costs</t>
  </si>
  <si>
    <t>average yr 1 revenue</t>
  </si>
  <si>
    <t xml:space="preserve"> </t>
  </si>
  <si>
    <t>Non-Recurring</t>
  </si>
  <si>
    <t>Recurring</t>
  </si>
  <si>
    <t>OM</t>
  </si>
  <si>
    <t xml:space="preserve">O365 Adds (year 1) </t>
  </si>
  <si>
    <t>per O365 seat add</t>
  </si>
  <si>
    <t>Total Subscription Customers</t>
  </si>
  <si>
    <t>Valuation</t>
  </si>
  <si>
    <t>IRR</t>
  </si>
  <si>
    <t>O365 Churn, per annum</t>
  </si>
  <si>
    <t>IP Attach Rate</t>
  </si>
  <si>
    <t>To-Partner Margin Structure</t>
  </si>
  <si>
    <t>Azure</t>
  </si>
  <si>
    <t>New Customer Adds</t>
  </si>
  <si>
    <t>Total New Customers</t>
  </si>
  <si>
    <t>Total New Users</t>
  </si>
  <si>
    <t>Total New Customers with IP</t>
  </si>
  <si>
    <t>New Customer Implementation Revenue</t>
  </si>
  <si>
    <t>New Customer IP Revenue</t>
  </si>
  <si>
    <t>Total New Users with IP</t>
  </si>
  <si>
    <t>Total New Users with O365</t>
  </si>
  <si>
    <t>Total New Users with Managed Service</t>
  </si>
  <si>
    <t>Total New Customers with O365</t>
  </si>
  <si>
    <t>Total New Customers with Managed Service</t>
  </si>
  <si>
    <t>New Customer Managed Services Revenue</t>
  </si>
  <si>
    <t>New Customer Cloud Services Revenue</t>
  </si>
  <si>
    <t>New Customer Azure Revenue</t>
  </si>
  <si>
    <t>New Customer Implementation Costs</t>
  </si>
  <si>
    <t>New Customer IP Costs</t>
  </si>
  <si>
    <t>New Customer Managed Services Costs</t>
  </si>
  <si>
    <t>New Customer Cloud Services Costs</t>
  </si>
  <si>
    <t>New Customer Azure Costs</t>
  </si>
  <si>
    <t>Gross Margin (Managed Services)</t>
  </si>
  <si>
    <t>Azure Attach Rate</t>
  </si>
  <si>
    <t>Total New Customers with Azure</t>
  </si>
  <si>
    <t>Total New Users with Azure</t>
  </si>
  <si>
    <t>per customer per year</t>
  </si>
  <si>
    <t>Ongoing Services Attach Rate</t>
  </si>
  <si>
    <t>Total New Customers with Ongoing Cloud Service</t>
  </si>
  <si>
    <t>New Customer Ongoing Cloud Services Revenue</t>
  </si>
  <si>
    <t>New Customer Ongoing Cloud Services Costs</t>
  </si>
  <si>
    <t>Total New Users with Ongoing Cloud Service</t>
  </si>
  <si>
    <t>IP</t>
  </si>
  <si>
    <t>Project Services</t>
  </si>
  <si>
    <t>Anticipated Shareholder Value Created</t>
  </si>
  <si>
    <t>Professional Services</t>
  </si>
  <si>
    <t>Approximate Working Capital Required</t>
  </si>
  <si>
    <t>Yr 1 revenue</t>
  </si>
  <si>
    <t>Azure Consumption (per year)</t>
  </si>
  <si>
    <t>Revenue</t>
  </si>
  <si>
    <t>total FTE's deployed (professional services)</t>
  </si>
  <si>
    <t>total FTE's deployed (managed services)</t>
  </si>
  <si>
    <t>Contribution Margin</t>
  </si>
  <si>
    <t>Other Fixed Investments</t>
  </si>
  <si>
    <t>Customer Acquisition Costs</t>
  </si>
  <si>
    <t>Managed Services Fees</t>
  </si>
  <si>
    <t>Gross Margin (Project Services)</t>
  </si>
  <si>
    <t>Margin</t>
  </si>
  <si>
    <t>Anticipated Valuation Impact</t>
  </si>
  <si>
    <t>Upfront Project Services Fees</t>
  </si>
  <si>
    <t>Ongoing Project Services Fees</t>
  </si>
  <si>
    <t>P&amp;L Impact</t>
  </si>
  <si>
    <t>Overall Gross Margin</t>
  </si>
  <si>
    <t>Exchange &amp; Mailbox Migration</t>
  </si>
  <si>
    <t>Cloud Readiness Assessment</t>
  </si>
  <si>
    <t>Desktop &amp; Device Management &amp; Support</t>
  </si>
  <si>
    <t>Security Management &amp; Identity Protection</t>
  </si>
  <si>
    <t>Update &amp; Patch Management</t>
  </si>
  <si>
    <t>Proactive Backups &amp; Anti-Virus Monitoring</t>
  </si>
  <si>
    <t>Hybrid Environment Support (Basic Infrastructure)</t>
  </si>
  <si>
    <t>Training</t>
  </si>
  <si>
    <t>Solution Analysis, Scope, &amp; Design</t>
  </si>
  <si>
    <t>O365 Advisor</t>
  </si>
  <si>
    <t>O365 Open</t>
  </si>
  <si>
    <t>O365 CSP (Direct)</t>
  </si>
  <si>
    <t>O365 CSP (Channel Incentives)</t>
  </si>
  <si>
    <t>Microsoft support (interface between MSFT &amp; customer)</t>
  </si>
  <si>
    <t>User Rights &amp; Account Management</t>
  </si>
  <si>
    <t>Single Sign-On Management</t>
  </si>
  <si>
    <t>Domain Management</t>
  </si>
  <si>
    <t>Office Client Connectivity</t>
  </si>
  <si>
    <t>Anticipated IP Gross Margin</t>
  </si>
  <si>
    <t>Total New Customer Adds with Azure</t>
  </si>
  <si>
    <t>Recurring Multiplier</t>
  </si>
  <si>
    <t>Non-Recurring Multiplier</t>
  </si>
  <si>
    <t>Contribution Margin ($)</t>
  </si>
  <si>
    <t>Contribution Margin (%)</t>
  </si>
  <si>
    <t>Step 1 - Set Average Deal Size (Overall Users)</t>
  </si>
  <si>
    <t>Step 2 - Set Average Deal Size (CRM Users)</t>
  </si>
  <si>
    <t>CRM Attach Rate</t>
  </si>
  <si>
    <t>CRM Online</t>
  </si>
  <si>
    <t>Sales &amp; Marketing Personnel</t>
  </si>
  <si>
    <t>Step 8 - Set CRM Online Price to Customer</t>
  </si>
  <si>
    <t>Step 9 - Set Office 365 Price to Customer</t>
  </si>
  <si>
    <t>Step 11 - Annual Set Customer Adds</t>
  </si>
  <si>
    <t>Step 12 - Set Customer Acquisition &amp; Retention Costs (Sales &amp; Marketing)</t>
  </si>
  <si>
    <t>Step 13 - Set Other Fixed Investments (R&amp;D, Training, Other Infrastructure, G&amp;A)</t>
  </si>
  <si>
    <t>Step 14 - Set Office 365 Attach Rate</t>
  </si>
  <si>
    <t>Step 15 - Set CRM Online Attach Rate</t>
  </si>
  <si>
    <t>Step 16 - Set Managed Services Attach Rate</t>
  </si>
  <si>
    <t>Step 17 - Set IP Attach Rate</t>
  </si>
  <si>
    <t>Step 18 - Set Azure Attach Rate</t>
  </si>
  <si>
    <t>Sales &amp; Marketing FTE's</t>
  </si>
  <si>
    <t>Sales &amp; Marketing</t>
  </si>
  <si>
    <t>Combined Financial Model</t>
  </si>
  <si>
    <t>Backup &amp; Storage Deployment</t>
  </si>
  <si>
    <t>Disaster Recovery Deployment</t>
  </si>
  <si>
    <t>Proof of Concept</t>
  </si>
  <si>
    <t>Virtualization Migration &amp; Deployment</t>
  </si>
  <si>
    <t>Performance and Application Troubleshooting</t>
  </si>
  <si>
    <t>Reports &amp; View Adjustments</t>
  </si>
  <si>
    <t>Web defense (restricting url’s, phishing malware, spam)</t>
  </si>
  <si>
    <t>Regulatory Compliance via O365 Infrastructure</t>
  </si>
  <si>
    <t>Critical Response Support</t>
  </si>
  <si>
    <t>Virtual Machine Management &amp; Upgrading</t>
  </si>
  <si>
    <t>Data Center Performance Monitoring &amp; Optimization</t>
  </si>
  <si>
    <t>Virtual Database Administration</t>
  </si>
  <si>
    <t>Workload Performance Monitoring</t>
  </si>
  <si>
    <t>Network Monitoring (including disk size &amp; comms monitoring)</t>
  </si>
  <si>
    <t>Azure Consumption Monitoring &amp; Optimization</t>
  </si>
  <si>
    <t>Hosted Line Of Business Applications</t>
  </si>
  <si>
    <t>Virtualization Support &amp; Efficiency Optimization</t>
  </si>
  <si>
    <t>3rd. Party Application Management</t>
  </si>
  <si>
    <t>Active Directory Federation &amp; Management</t>
  </si>
  <si>
    <t>Automated Consumption Monitoring &amp; Reporting</t>
  </si>
  <si>
    <t>Automated Load Balancing</t>
  </si>
  <si>
    <t>Automated Monitoring, Alerting, &amp; Logging</t>
  </si>
  <si>
    <t>Middleware for Hybrid Synchronization</t>
  </si>
  <si>
    <t>Automated Backups &amp; Disaster Recovery</t>
  </si>
  <si>
    <t>Automated O365 Telemetry (Availability &amp; Performance)</t>
  </si>
  <si>
    <t>Automated Disaster Recovery Testing</t>
  </si>
  <si>
    <t>Office Connectivity &amp; Other Plug-Ins &amp; Add-ons</t>
  </si>
  <si>
    <t>External Portals for End Customer Information</t>
  </si>
  <si>
    <t>Pre-Configured Dashboards</t>
  </si>
  <si>
    <t>Azure, Office 365, &amp; CRM Online Subscriptions</t>
  </si>
  <si>
    <t>Total New Users with CRM Online</t>
  </si>
  <si>
    <t>Total New Customers with CRM Online</t>
  </si>
  <si>
    <t>New Customer O365 Revenue</t>
  </si>
  <si>
    <t>New Customer CRM Online Revenue</t>
  </si>
  <si>
    <t>New Customer O365 Costs</t>
  </si>
  <si>
    <t>New Customer CRM Online Costs</t>
  </si>
  <si>
    <t>New Customer Azure, O365, &amp; CRM Online Revenue</t>
  </si>
  <si>
    <t>New Customer Azure, O365, &amp; CRM Online Costs</t>
  </si>
  <si>
    <t>Azure Margin &amp; Incentives</t>
  </si>
  <si>
    <t>Office 365 Margin &amp; Incentives</t>
  </si>
  <si>
    <t>CRM Online Margin &amp; Incentives</t>
  </si>
  <si>
    <t>Step 6 - Set Office 365 Mailbox Migration Fees</t>
  </si>
  <si>
    <t>Step 7 - Set Office 365 Mailbox Migration Costs</t>
  </si>
  <si>
    <t>Step 10 - Set Margin Multiplier Assumptions</t>
  </si>
  <si>
    <t>Step 3 - Set Deal Structure</t>
  </si>
  <si>
    <t>Step 4 - Set Margin Structure</t>
  </si>
  <si>
    <t>Step 5 - Set Delivery Resource Costs</t>
  </si>
  <si>
    <t>Step 19 - Set Customer Acquisition Resource Costs</t>
  </si>
  <si>
    <t>Disaster Recovery Monitoring &amp; Testing</t>
  </si>
  <si>
    <t>Office 365</t>
  </si>
  <si>
    <t>Virtualization</t>
  </si>
  <si>
    <t>Power BI</t>
  </si>
  <si>
    <t>Identity/Access Management (EMS)</t>
  </si>
  <si>
    <t>Azure Remote App</t>
  </si>
  <si>
    <t>Collect Data &amp; Monitor Assets (IoT)</t>
  </si>
  <si>
    <t>Enterprise Web &amp; Mobile Apps</t>
  </si>
  <si>
    <t>Potential Project Services</t>
  </si>
  <si>
    <t>Simple File Server Migration</t>
  </si>
  <si>
    <t>Custom Application Development</t>
  </si>
  <si>
    <t>Systems Integration</t>
  </si>
  <si>
    <t>Data Architecture Design</t>
  </si>
  <si>
    <t>Data Center Migration</t>
  </si>
  <si>
    <t>Data Warehousing Deployment</t>
  </si>
  <si>
    <t>Data Cube Construction</t>
  </si>
  <si>
    <t>Remediation</t>
  </si>
  <si>
    <t>Workflow Creation in SharePoint</t>
  </si>
  <si>
    <t>Database Infrastructure Development</t>
  </si>
  <si>
    <t>User Experience Consulting</t>
  </si>
  <si>
    <t>Yammer</t>
  </si>
  <si>
    <t>Potential Managed Services</t>
  </si>
  <si>
    <t>New Accounts Added &amp; Removed</t>
  </si>
  <si>
    <t>Managed Access to Email Groups</t>
  </si>
  <si>
    <t>VoIP Maintenance</t>
  </si>
  <si>
    <t>Application Lifecycle Management &amp; Support (design, development, testing, production, errors corrections, updates, new versions)</t>
  </si>
  <si>
    <t>Potential Intellectual Property</t>
  </si>
  <si>
    <t>Turnkey BI Portals</t>
  </si>
  <si>
    <t>Customer Self-Serve Portals</t>
  </si>
  <si>
    <t>Automated Data Migration &amp; Integration</t>
  </si>
  <si>
    <t>Vertical Solution Subscriptions</t>
  </si>
  <si>
    <t>Industry-specific Mobile Apps</t>
  </si>
  <si>
    <t>Industry-specific Workflows</t>
  </si>
  <si>
    <t>Online Training &amp; Self-paced Learning</t>
  </si>
  <si>
    <t>Model Variable</t>
  </si>
  <si>
    <t>Variable Definition</t>
  </si>
  <si>
    <t>Typical Range</t>
  </si>
  <si>
    <t>Average Deal Size (Overall Users)</t>
  </si>
  <si>
    <t>The average size of each new deal, in terms of overall users.</t>
  </si>
  <si>
    <t>Will vary widely depending on the customer segment targeted. Could be anywhere from as few as 10 users or less, to several thousand.</t>
  </si>
  <si>
    <t>Average Deal Size (CRM Online Users)</t>
  </si>
  <si>
    <t>The average size of each new deal, in terms of CRM online users.</t>
  </si>
  <si>
    <t>Will vary widely depending on the customer segment targeted. Could be anywhere from as few as 10 users or less, to several thousand. However, there will almost always be fewer CRM users than overall users.</t>
  </si>
  <si>
    <t>The average amount you expect to charge the customer in upfront implementation fees for every new deal you do.</t>
  </si>
  <si>
    <t>Will vary widely depending on local market circumstances, as well as size, scope, and complexity of implementation. Simple migrations to O365 can be as low as $5k, while complex migrations to Azure can be as high as $500k.</t>
  </si>
  <si>
    <r>
      <t>The average amount you expect to charge the customer every year for any ongoing project work (</t>
    </r>
    <r>
      <rPr>
        <u/>
        <sz val="10"/>
        <color theme="1"/>
        <rFont val="Segoe UI"/>
        <family val="2"/>
      </rPr>
      <t>excluding</t>
    </r>
    <r>
      <rPr>
        <sz val="10"/>
        <color theme="1"/>
        <rFont val="Segoe UI"/>
        <family val="2"/>
      </rPr>
      <t xml:space="preserve"> managed services).</t>
    </r>
  </si>
  <si>
    <r>
      <t xml:space="preserve">Will vary widely depending on the nature of the initial project, and whether a phased approach is taken. Research has shown that anywhere from 10% to 100% of initial project fees may be charged on an ongoing basis. Note that this is </t>
    </r>
    <r>
      <rPr>
        <u/>
        <sz val="10"/>
        <color theme="1"/>
        <rFont val="Segoe UI"/>
        <family val="2"/>
      </rPr>
      <t>not</t>
    </r>
    <r>
      <rPr>
        <sz val="10"/>
        <color theme="1"/>
        <rFont val="Segoe UI"/>
        <family val="2"/>
      </rPr>
      <t xml:space="preserve"> the same as managed services fees, which are contracted rather than project-based.</t>
    </r>
  </si>
  <si>
    <t>The average amount you expect to expect to drive in terms of Azure consumption, per year, for every new deal you do.</t>
  </si>
  <si>
    <t>Will vary widely depending on the size of the customer and what is being supported on Azure. Could be anywhere from a few thousand dollars per year (or less), to several hundred thousand.</t>
  </si>
  <si>
    <t>The average amount you expect to charge the customer (per user per month) for any of your own IP that you attach, bundle, or embed with O365 or CRM online.</t>
  </si>
  <si>
    <t>Will vary widely depending on the nature of the IP you develop, the market you operate in, and the IP’s utility to the customer. Could be as low as a few dollars a month, to several hundred.</t>
  </si>
  <si>
    <t>The average amount you expect to charge the customer for any managed services you provide.</t>
  </si>
  <si>
    <t>Will vary widely depending on the market you operate in, and the composition of your managed service offering. Could be as low as $10-$15 per user per month, to several thousand dollars per customer per year.</t>
  </si>
  <si>
    <t>The expected margin to you from any Azure consumption you drive.</t>
  </si>
  <si>
    <t>Typically 10% - 20%</t>
  </si>
  <si>
    <t>The expected margin to you from any Office 365 utilization you drive.</t>
  </si>
  <si>
    <t>The expected margin to you from any CRM online utilization you drive.</t>
  </si>
  <si>
    <t>The expected gross margin you will achieve any project services you deliver to the customer (this should be based on your historical project services gross margin, unless you anticipate it to change).</t>
  </si>
  <si>
    <t>Will vary depending on local market circumstances, and management effectiveness in managing utilization. Typically ranges anywhere from 10% to 40%.</t>
  </si>
  <si>
    <t>The expected gross margin you will achieve any managed services you deliver to the customer (this should be based on your historical managed services gross margin, unless you anticipate it to change, and will often be different from your project services gross margin).</t>
  </si>
  <si>
    <t>Will vary depending on local market circumstances, and management effectiveness in managing utilization. Typically ranges anywhere from 10% to 50%.</t>
  </si>
  <si>
    <t>Anticipated IP Margin</t>
  </si>
  <si>
    <t>The expected gross margin you will achieve any of your own IP that you deliver to the customer (this should be based on your historical IP gross margin, if available).</t>
  </si>
  <si>
    <t>Will vary depending on the development leverage gained from working with customers who fund the initial development, but can be as high as 70% to 90% in some cases.</t>
  </si>
  <si>
    <t>Project Services Resource Cost</t>
  </si>
  <si>
    <t>The average fully loaded annual cost to you of a project services delivery resource (salary, benefits, and bonuses).</t>
  </si>
  <si>
    <t>Will vary widely depending on the local economy, labor market circumstances, skillset needed, and degree of outsourcing. Could be anywhere from $20k to $150k per year.</t>
  </si>
  <si>
    <t>Managed Services Resource Cost</t>
  </si>
  <si>
    <t>The average fully loaded annual cost to you of a managed services delivery resource (salary, benefits, and bonuses).</t>
  </si>
  <si>
    <t>Will vary widely depending on the local economy, labor market circumstances, skillset needed, and degree of outsourcing. Typically, however, these resources are less costly than project services resources.</t>
  </si>
  <si>
    <t>Mailbox Migration Fees</t>
  </si>
  <si>
    <t>The amount will you charge the customer to migrate mailboxes, in addition to the upfront project fees mentioned above, if anything.</t>
  </si>
  <si>
    <t xml:space="preserve">Will vary widely depending on the local economy, and the degree of automation used. Could be as little as nothing at all if embedded in project fees, to as much as $100 per mailbox migrated. </t>
  </si>
  <si>
    <t>Mailbox Migration Costs</t>
  </si>
  <si>
    <t>The amount it will cost you to migrate mailboxes, in addition to the upfront project fees mentioned above, if not already reflected in the project services gross margin above.</t>
  </si>
  <si>
    <r>
      <t>Will vary widely depending on the cost of labor in the local economy, and the degree of automation used. Could be anywhere from nothing at all if embedded in project services gross margin, to $20-$40 per mailbox if 3</t>
    </r>
    <r>
      <rPr>
        <vertAlign val="superscript"/>
        <sz val="10"/>
        <color theme="1"/>
        <rFont val="Segoe UI"/>
        <family val="2"/>
      </rPr>
      <t>rd</t>
    </r>
    <r>
      <rPr>
        <sz val="10"/>
        <color theme="1"/>
        <rFont val="Segoe UI"/>
        <family val="2"/>
      </rPr>
      <t>. party automated tools are used.</t>
    </r>
  </si>
  <si>
    <t>The retail price to the customer of CRM online in your local market, per user per month.</t>
  </si>
  <si>
    <t>Will vary depending on local market pricing from Microsoft. Please refer to local Microsoft pricelist.</t>
  </si>
  <si>
    <t>O365 Retail Price to Customer</t>
  </si>
  <si>
    <t>The retail price to the customer of O365, in your local market, per user per month.</t>
  </si>
  <si>
    <t>Will vary depending on local market pricing from Microsoft, and the sku used. Please refer to local Microsoft pricelist.</t>
  </si>
  <si>
    <t>Recurring Margin Multiplier</t>
  </si>
  <si>
    <t>From a valuation perspective, the amount a potential buyer would consider an appropriate multiplier for recurring margin in your local market (based on research, 5 is a conservative assumption, but change this assumption if you feel it is not representative of buyers in your local market).</t>
  </si>
  <si>
    <t>Typically 4-7</t>
  </si>
  <si>
    <t>Non-Recurring Margin Multiplier</t>
  </si>
  <si>
    <t>From a valuation perspective, the amount a potential buyer would consider an appropriate multiplier for non-recurring margin in your local market (based on research, 1.5 is a conservative assumption, but change this assumption if you feel it is not representative of buyers in your local market).</t>
  </si>
  <si>
    <t>Typically 1-3</t>
  </si>
  <si>
    <t>Customer Adds</t>
  </si>
  <si>
    <t>The amount of new customers you will add in each of years 1 through 4 (note that these are additive, not cumulative)</t>
  </si>
  <si>
    <t>Will vary depending on how aggressive a Partner is in pursuing in pursuing the Cloud opportunity, and the customer segment targeted. Could be anywhere from 5-10 per year, to several hundred.</t>
  </si>
  <si>
    <t>Customer Acquisition &amp; Retention Costs</t>
  </si>
  <si>
    <t>Given your customer add assumptions for each year, the amount you will spend on sales and marketing costs in each of years 1 through 4.</t>
  </si>
  <si>
    <t>Will vary widely depending on market segment targeted, and pre-existing sales and marketing capabilities. As a rule of thumb and best practice, however, a Partner should conservatively assume a customer acquisition cost of 20%-25% of first year’s revenue.</t>
  </si>
  <si>
    <t>Given your Cloud offering and existing resource pool, the amount you will need to invest in training, R&amp;D, demand generation and other infrastructure in each of years 1 through 4.</t>
  </si>
  <si>
    <t>Will vary widely depending on whether a Partner “re-skills” an existing resource pool versus net new hiring, whether IP is developed and bundled into the Cloud offering, and what incremental marketing and sales infrastructure investments are needed to achieve the desired customer adds.</t>
  </si>
  <si>
    <t>Office 365 Attach Rate</t>
  </si>
  <si>
    <t>The percentage of new customers and users added that you expect to subscribe to Office 365.</t>
  </si>
  <si>
    <t>Will vary widely depending on the composition of the managed service, the customer segment targeted, and the degree to which it is “bundled” into the Cloud offering. Could be literally anywhere from 0%-90% or higher.</t>
  </si>
  <si>
    <t>CRM Online Attach Rate</t>
  </si>
  <si>
    <t>The percentage of new customers and users added that you expect to subscribe to CRM Online.</t>
  </si>
  <si>
    <t>The percentage of new customers and users added that you expect to subscribe to your managed service offering, mentioned above.</t>
  </si>
  <si>
    <t>The percentage of new customers and users added that you expect to license your own IP, mentioned above.</t>
  </si>
  <si>
    <t>Will vary widely depending on the nature and utility of the IP, and the degree to which it is “bundled” into the Cloud offering. Could be literally anywhere from 0%-90% or higher.</t>
  </si>
  <si>
    <t>The percentage of new customers and users added that you expect to drive Azure consumption, mentioned above.</t>
  </si>
  <si>
    <t>Will vary widely depending on the customer segment targeted, and the nature of the Cloud offering. Could be literally anywhere from 0%-90% or higher.</t>
  </si>
  <si>
    <t>Customer Acquisition Resource Cost</t>
  </si>
  <si>
    <t>The average fully loaded annual cost to you for sales and marketing resources that result in customer acquisition (salary, benefits, and bonuses).</t>
  </si>
  <si>
    <t>Data Center Transformation</t>
  </si>
  <si>
    <t>Storage, Backup, &amp; Recovery</t>
  </si>
  <si>
    <t>Big Data &amp; Predictive Analytics</t>
  </si>
  <si>
    <t>Website Hosting</t>
  </si>
  <si>
    <t>$5,000 - $15,000</t>
  </si>
  <si>
    <t>$2,500 - $25,000</t>
  </si>
  <si>
    <t>$2,500 - $10,000</t>
  </si>
  <si>
    <t>$2,500 - $15,000</t>
  </si>
  <si>
    <t>$2,500 - $7,500</t>
  </si>
  <si>
    <t>$10,000 - $75,000</t>
  </si>
  <si>
    <t>$20,000 - $50,000</t>
  </si>
  <si>
    <t>Average Total Project Services Revenue Range</t>
  </si>
  <si>
    <t>$2,500 - $5,000</t>
  </si>
  <si>
    <t>$15,000 - $50,000</t>
  </si>
  <si>
    <t>$45,000 - $75,000</t>
  </si>
  <si>
    <t>$75,000 - $150,000</t>
  </si>
  <si>
    <t>$2,000 - $5,000</t>
  </si>
  <si>
    <t>Average Total Managed Services Revenue Range</t>
  </si>
  <si>
    <t>Reactive Help Desk Support (Office, Lync, Intune, CRM Online)</t>
  </si>
  <si>
    <t>Software Asset Management (licensing management &amp; optimization)</t>
  </si>
  <si>
    <t>Average Total Intellectual Property Revenue Range</t>
  </si>
  <si>
    <t>SharePoint-Based Vertical Workflows</t>
  </si>
  <si>
    <t>Function-specific Workflows (e.g. HR, Procurement)</t>
  </si>
  <si>
    <t>CRM Online Retail Price to Customer</t>
  </si>
  <si>
    <t>Hosting</t>
  </si>
  <si>
    <t>EDU</t>
  </si>
  <si>
    <t>$25,000 - $100,000</t>
  </si>
  <si>
    <t>Average Device Sale</t>
  </si>
  <si>
    <t>Gross Margin (Devices)</t>
  </si>
  <si>
    <t>The average amount you expect to sell in terms of devices for every new user added.</t>
  </si>
  <si>
    <t>Will vary widely depending on your overall business focus, and whether you have a managed service to support devices, or have outsourced such a service. However, this is usually in the $2k - $10k range, if devices are sold at all.</t>
  </si>
  <si>
    <t>The expected gross margin you expect to earn on any devices you sell.</t>
  </si>
  <si>
    <t>Will vary depending on mix of devices sold, and what is negotiated with the supplier. Typically ranges anywhere from 5% to 15%.</t>
  </si>
  <si>
    <t>Devices Revenue</t>
  </si>
  <si>
    <t>Devices Cost</t>
  </si>
  <si>
    <t>Devices</t>
  </si>
  <si>
    <t>COGS (Devices)</t>
  </si>
  <si>
    <t>Desktop Virtualization</t>
  </si>
  <si>
    <t>Mobile Device Connectivity &amp; Management</t>
  </si>
  <si>
    <t>e-Commerce functionality</t>
  </si>
  <si>
    <t>Microsoft Dynamics</t>
  </si>
  <si>
    <t>CRM Online- Sales Automation</t>
  </si>
  <si>
    <t>CRM Online- Services Automation</t>
  </si>
  <si>
    <t>Dynamics AX</t>
  </si>
  <si>
    <t>$200,000-$1.5M</t>
  </si>
  <si>
    <t>Solution Configuration/Customization</t>
  </si>
  <si>
    <t>Solution Support &amp; Training</t>
  </si>
  <si>
    <t>Application Support/Help Desk</t>
  </si>
  <si>
    <t>Vertical specific functionality</t>
  </si>
  <si>
    <t>$75,000-$200,000</t>
  </si>
  <si>
    <t>Cloud Voice Deployment &amp; Management (CA)</t>
  </si>
  <si>
    <t>Cloud Voice Deployment &amp; Management (Ent)</t>
  </si>
  <si>
    <t>Cloud Voice Deployment &amp; Management (SMB)</t>
  </si>
  <si>
    <t>$10,000 - $25,000</t>
  </si>
  <si>
    <t>$25,000 - $75,000</t>
  </si>
  <si>
    <t>$75,000 - $200,000</t>
  </si>
  <si>
    <t>Surface Hub Device</t>
  </si>
  <si>
    <t xml:space="preserve">Cloud Migration Planning </t>
  </si>
  <si>
    <t>Deployment Services</t>
  </si>
  <si>
    <t>Health Checks</t>
  </si>
  <si>
    <t>Communications Envision Workshop</t>
  </si>
  <si>
    <t>Network readiness assessment</t>
  </si>
  <si>
    <t>Bandwidth Planning</t>
  </si>
  <si>
    <t>Business Use Case Workshop</t>
  </si>
  <si>
    <t>Communications Architecture Design</t>
  </si>
  <si>
    <t>Adoption Services</t>
  </si>
  <si>
    <t>User Enablement</t>
  </si>
  <si>
    <t>Office Client Deployment</t>
  </si>
  <si>
    <t>Device Procurement and Deployment</t>
  </si>
  <si>
    <t>Deployment Validation</t>
  </si>
  <si>
    <t>Network Remediation</t>
  </si>
  <si>
    <t>Voice Planning - Dial plans, number porting</t>
  </si>
  <si>
    <t>On Premise PSTN Connectivity planning</t>
  </si>
  <si>
    <t>Cloud Connector Edition Planning and Deployment</t>
  </si>
  <si>
    <t>Business Process Transformation</t>
  </si>
  <si>
    <t>Social  Listening and Sentiment Analysis</t>
  </si>
  <si>
    <t>Support Services</t>
  </si>
  <si>
    <t>Online Training and Self Paced learning</t>
  </si>
  <si>
    <t>Reporting and Analytics</t>
  </si>
  <si>
    <t>Mobility Solutions</t>
  </si>
  <si>
    <t>App Virtualization</t>
  </si>
  <si>
    <t>Web-Based Management Tool Consolidation</t>
  </si>
  <si>
    <t>Performance Monitoring and Reporting</t>
  </si>
  <si>
    <t>Troubleshooting</t>
  </si>
  <si>
    <t>Configuration Management</t>
  </si>
  <si>
    <t>Reports and Dashboard Maintenance</t>
  </si>
  <si>
    <t>Anti-Virus Monitoring</t>
  </si>
  <si>
    <t>Help Desk Support</t>
  </si>
  <si>
    <t>Identity as a Service</t>
  </si>
  <si>
    <t>Windows &amp; Devices</t>
  </si>
  <si>
    <t>PowerShell Script Automation</t>
  </si>
  <si>
    <t xml:space="preserve">Cross Platform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</si>
</sst>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Red]\-&quot;$&quot;#,##0"/>
    <numFmt numFmtId="165" formatCode="_-* #,##0.00_-;\-* #,##0.00_-;_-* &quot;-&quot;??_-;_-@_-"/>
    <numFmt numFmtId="166" formatCode="&quot;$&quot;#,##0"/>
    <numFmt numFmtId="167" formatCode="0.0%"/>
    <numFmt numFmtId="168" formatCode="0.0"/>
    <numFmt numFmtId="169" formatCode="#,##0_ ;[Red]\-#,##0\ "/>
    <numFmt numFmtId="170" formatCode="&quot;$&quot;#,##0.00"/>
    <numFmt numFmtId="171" formatCode="#,##0.0"/>
    <numFmt numFmtId="172" formatCode="#,##0.0_ ;[Red]\-#,##0.0\ "/>
    <numFmt numFmtId="173" formatCode="0.0000"/>
    <numFmt numFmtId="174" formatCode="#,##0.000"/>
    <numFmt numFmtId="175" formatCode="[$€-2]\ #,##0"/>
    <numFmt numFmtId="176" formatCode="[$€-2]\ #,##0.00"/>
    <numFmt numFmtId="177" formatCode="#,##0.0000"/>
    <numFmt numFmtId="178" formatCode="0.000%"/>
    <numFmt numFmtId="179" formatCode="[$£-809]#,##0"/>
    <numFmt numFmtId="180" formatCode="[$$-409]#,##0"/>
    <numFmt numFmtId="181" formatCode="[$$-409]#,##0.00"/>
    <numFmt numFmtId="182" formatCode="&quot;$&quot;#,##0.00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color rgb="FFFF0000"/>
      <name val="Calibri"/>
      <family val="2"/>
    </font>
    <font>
      <sz val="11"/>
      <name val="Calibri"/>
      <family val="2"/>
      <scheme val="minor"/>
    </font>
    <font>
      <b/>
      <sz val="14"/>
      <name val="Calibri"/>
      <family val="2"/>
      <scheme val="minor"/>
    </font>
    <font>
      <b/>
      <sz val="11"/>
      <name val="Calibri"/>
      <family val="2"/>
      <scheme val="minor"/>
    </font>
    <font>
      <b/>
      <sz val="11"/>
      <color theme="0"/>
      <name val="Calibri"/>
      <family val="2"/>
      <scheme val="minor"/>
    </font>
    <font>
      <b/>
      <sz val="11"/>
      <color theme="0"/>
      <name val="Calibri"/>
      <family val="2"/>
    </font>
    <font>
      <b/>
      <sz val="11"/>
      <name val="Calibri"/>
      <family val="2"/>
    </font>
    <font>
      <b/>
      <sz val="9"/>
      <color indexed="81"/>
      <name val="Tahoma"/>
      <family val="2"/>
    </font>
    <font>
      <b/>
      <sz val="12"/>
      <color theme="0"/>
      <name val="Calibri"/>
      <family val="2"/>
      <scheme val="minor"/>
    </font>
    <font>
      <b/>
      <sz val="11"/>
      <color theme="0"/>
      <name val="Segoe UI"/>
      <family val="2"/>
    </font>
    <font>
      <sz val="10"/>
      <color theme="1"/>
      <name val="Segoe UI"/>
      <family val="2"/>
    </font>
    <font>
      <b/>
      <sz val="10"/>
      <color theme="1"/>
      <name val="Segoe UI"/>
      <family val="2"/>
    </font>
    <font>
      <b/>
      <sz val="11"/>
      <color theme="1"/>
      <name val="Segoe UI"/>
      <family val="2"/>
    </font>
    <font>
      <sz val="11"/>
      <color theme="1"/>
      <name val="Segoe UI"/>
      <family val="2"/>
    </font>
    <font>
      <b/>
      <sz val="10"/>
      <color theme="0"/>
      <name val="Segoe UI"/>
      <family val="2"/>
    </font>
    <font>
      <sz val="10"/>
      <color rgb="FFFF0000"/>
      <name val="Segoe UI"/>
      <family val="2"/>
    </font>
    <font>
      <b/>
      <sz val="10"/>
      <name val="Segoe UI"/>
      <family val="2"/>
    </font>
    <font>
      <sz val="11"/>
      <name val="Segoe UI"/>
      <family val="2"/>
    </font>
    <font>
      <sz val="10"/>
      <name val="Segoe UI"/>
      <family val="2"/>
    </font>
    <font>
      <sz val="14"/>
      <color theme="1"/>
      <name val="Segoe UI"/>
      <family val="2"/>
    </font>
    <font>
      <b/>
      <sz val="14"/>
      <color theme="0"/>
      <name val="Segoe UI"/>
      <family val="2"/>
    </font>
    <font>
      <sz val="10"/>
      <color rgb="FF000000"/>
      <name val="Segoe UI"/>
      <family val="2"/>
    </font>
    <font>
      <u/>
      <sz val="10"/>
      <color theme="1"/>
      <name val="Segoe UI"/>
      <family val="2"/>
    </font>
    <font>
      <vertAlign val="superscript"/>
      <sz val="10"/>
      <color theme="1"/>
      <name val="Segoe UI"/>
      <family val="2"/>
    </font>
    <font>
      <i/>
      <sz val="11"/>
      <color theme="1"/>
      <name val="Segoe UI"/>
      <family val="2"/>
    </font>
    <font>
      <b/>
      <i/>
      <sz val="11"/>
      <color theme="1"/>
      <name val="Segoe UI"/>
      <family val="2"/>
    </font>
    <font>
      <i/>
      <sz val="11"/>
      <name val="Segoe UI"/>
      <family val="2"/>
    </font>
    <font>
      <sz val="11"/>
      <color rgb="FFFF0000"/>
      <name val="Segoe UI"/>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3399FF"/>
        <bgColor indexed="64"/>
      </patternFill>
    </fill>
    <fill>
      <patternFill patternType="solid">
        <fgColor rgb="FF7030A0"/>
        <bgColor indexed="64"/>
      </patternFill>
    </fill>
    <fill>
      <patternFill patternType="solid">
        <fgColor rgb="FFFFC000"/>
        <bgColor indexed="64"/>
      </patternFill>
    </fill>
    <fill>
      <patternFill patternType="solid">
        <fgColor rgb="FF00B0F0"/>
        <bgColor indexed="64"/>
      </patternFill>
    </fill>
    <fill>
      <patternFill patternType="solid">
        <fgColor rgb="FF000000"/>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op>
      <bottom/>
      <diagonal/>
    </border>
    <border>
      <left style="thin">
        <color theme="0"/>
      </left>
      <right/>
      <top/>
      <bottom style="thin">
        <color indexed="64"/>
      </bottom>
      <diagonal/>
    </border>
    <border>
      <left style="thin">
        <color theme="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383">
    <xf numFmtId="0" fontId="0" fillId="0" borderId="0" xfId="0"/>
    <xf numFmtId="0" fontId="6" fillId="3" borderId="0" xfId="0" applyFont="1" applyFill="1"/>
    <xf numFmtId="0" fontId="8" fillId="3" borderId="0" xfId="0" applyFont="1" applyFill="1"/>
    <xf numFmtId="3" fontId="6" fillId="3" borderId="0" xfId="0" applyNumberFormat="1" applyFont="1" applyFill="1"/>
    <xf numFmtId="166" fontId="6" fillId="3" borderId="0" xfId="0" applyNumberFormat="1" applyFont="1" applyFill="1"/>
    <xf numFmtId="1" fontId="6" fillId="3" borderId="0" xfId="0" applyNumberFormat="1" applyFont="1" applyFill="1"/>
    <xf numFmtId="2" fontId="6" fillId="3" borderId="0" xfId="0" applyNumberFormat="1" applyFont="1" applyFill="1"/>
    <xf numFmtId="0" fontId="8" fillId="3" borderId="0" xfId="0" applyFont="1" applyFill="1" applyAlignment="1">
      <alignment horizontal="right"/>
    </xf>
    <xf numFmtId="3" fontId="8" fillId="3" borderId="0" xfId="0" applyNumberFormat="1" applyFont="1" applyFill="1"/>
    <xf numFmtId="0" fontId="0" fillId="0" borderId="0" xfId="0" applyFont="1" applyBorder="1"/>
    <xf numFmtId="3" fontId="6" fillId="0" borderId="0" xfId="0" applyNumberFormat="1" applyFont="1" applyFill="1"/>
    <xf numFmtId="0" fontId="0" fillId="0" borderId="0" xfId="0" applyProtection="1"/>
    <xf numFmtId="0" fontId="0" fillId="0" borderId="5" xfId="0" applyBorder="1" applyAlignment="1" applyProtection="1">
      <alignment horizontal="right"/>
    </xf>
    <xf numFmtId="0" fontId="0" fillId="0" borderId="8" xfId="0" applyBorder="1" applyProtection="1"/>
    <xf numFmtId="0" fontId="4" fillId="0" borderId="5" xfId="0" applyFont="1" applyBorder="1" applyAlignment="1" applyProtection="1">
      <alignment horizontal="right"/>
    </xf>
    <xf numFmtId="0" fontId="4" fillId="0" borderId="0" xfId="0" applyFont="1" applyBorder="1" applyProtection="1"/>
    <xf numFmtId="0" fontId="4" fillId="0" borderId="7" xfId="0" applyFont="1" applyBorder="1" applyAlignment="1" applyProtection="1">
      <alignment horizontal="right"/>
    </xf>
    <xf numFmtId="0" fontId="4" fillId="0" borderId="6" xfId="0" applyFont="1" applyBorder="1" applyProtection="1"/>
    <xf numFmtId="0" fontId="4" fillId="0" borderId="8" xfId="0" applyFont="1" applyBorder="1" applyProtection="1"/>
    <xf numFmtId="0" fontId="0" fillId="0" borderId="0" xfId="0" applyAlignment="1" applyProtection="1">
      <alignment horizontal="right"/>
    </xf>
    <xf numFmtId="0" fontId="3" fillId="0" borderId="0" xfId="0" applyFont="1" applyBorder="1" applyAlignment="1" applyProtection="1">
      <alignment horizontal="center" vertical="center"/>
    </xf>
    <xf numFmtId="0" fontId="6" fillId="0" borderId="0" xfId="0" applyFont="1" applyFill="1"/>
    <xf numFmtId="166" fontId="6" fillId="0" borderId="0" xfId="0" applyNumberFormat="1" applyFont="1" applyFill="1"/>
    <xf numFmtId="0" fontId="0" fillId="0" borderId="0" xfId="0" applyFill="1" applyBorder="1" applyProtection="1"/>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0" fillId="0" borderId="5" xfId="0" applyBorder="1" applyAlignment="1" applyProtection="1">
      <alignment horizontal="center"/>
    </xf>
    <xf numFmtId="3" fontId="6" fillId="0" borderId="0" xfId="0" applyNumberFormat="1" applyFont="1" applyFill="1" applyAlignment="1">
      <alignment horizontal="right"/>
    </xf>
    <xf numFmtId="0" fontId="11" fillId="0" borderId="0" xfId="0" applyFont="1" applyFill="1" applyBorder="1" applyAlignment="1" applyProtection="1">
      <alignment horizontal="right" vertical="center" wrapText="1"/>
    </xf>
    <xf numFmtId="166" fontId="0" fillId="0" borderId="0" xfId="0" applyNumberFormat="1" applyProtection="1"/>
    <xf numFmtId="164" fontId="0" fillId="0" borderId="0" xfId="0" applyNumberFormat="1" applyProtection="1"/>
    <xf numFmtId="167" fontId="0" fillId="0" borderId="6" xfId="1" applyNumberFormat="1" applyFont="1" applyBorder="1" applyAlignment="1" applyProtection="1">
      <alignment horizontal="center"/>
    </xf>
    <xf numFmtId="0" fontId="3" fillId="0" borderId="0" xfId="0" applyFont="1" applyAlignment="1" applyProtection="1">
      <alignment horizontal="right" vertical="center"/>
    </xf>
    <xf numFmtId="0" fontId="10" fillId="4" borderId="9" xfId="0" applyFont="1" applyFill="1" applyBorder="1" applyAlignment="1" applyProtection="1">
      <alignment horizontal="center"/>
    </xf>
    <xf numFmtId="0" fontId="3" fillId="0" borderId="0" xfId="0" applyFont="1" applyFill="1" applyBorder="1" applyAlignment="1" applyProtection="1">
      <alignment horizontal="center" vertical="center"/>
    </xf>
    <xf numFmtId="9" fontId="5" fillId="0" borderId="8" xfId="1" applyFont="1" applyFill="1" applyBorder="1" applyAlignment="1" applyProtection="1">
      <alignment horizontal="center"/>
      <protection locked="0"/>
    </xf>
    <xf numFmtId="166" fontId="6" fillId="0" borderId="0" xfId="0" applyNumberFormat="1" applyFont="1" applyFill="1" applyAlignment="1">
      <alignment horizontal="right"/>
    </xf>
    <xf numFmtId="174" fontId="6" fillId="3" borderId="0" xfId="0" applyNumberFormat="1" applyFont="1" applyFill="1"/>
    <xf numFmtId="0" fontId="0" fillId="0" borderId="0" xfId="0"/>
    <xf numFmtId="167" fontId="6" fillId="3" borderId="0" xfId="1" applyNumberFormat="1" applyFont="1" applyFill="1"/>
    <xf numFmtId="4" fontId="6" fillId="3" borderId="0" xfId="0" applyNumberFormat="1" applyFont="1" applyFill="1"/>
    <xf numFmtId="0" fontId="0" fillId="0" borderId="6" xfId="0" applyBorder="1" applyProtection="1"/>
    <xf numFmtId="166" fontId="0" fillId="0" borderId="6" xfId="0" applyNumberFormat="1" applyBorder="1" applyAlignment="1" applyProtection="1">
      <alignment horizontal="left" vertical="center"/>
    </xf>
    <xf numFmtId="0" fontId="0" fillId="2" borderId="0" xfId="0" applyFill="1" applyBorder="1" applyProtection="1"/>
    <xf numFmtId="0" fontId="3" fillId="2" borderId="0" xfId="0" applyFont="1" applyFill="1" applyBorder="1" applyProtection="1"/>
    <xf numFmtId="0" fontId="3" fillId="2" borderId="0" xfId="0" applyFont="1" applyFill="1" applyBorder="1" applyAlignment="1" applyProtection="1">
      <alignment horizontal="right"/>
    </xf>
    <xf numFmtId="175" fontId="2" fillId="7" borderId="0" xfId="0" applyNumberFormat="1" applyFont="1" applyFill="1" applyBorder="1" applyAlignment="1" applyProtection="1">
      <alignment horizontal="center"/>
      <protection locked="0"/>
    </xf>
    <xf numFmtId="175" fontId="2" fillId="7" borderId="1" xfId="0" applyNumberFormat="1" applyFont="1" applyFill="1" applyBorder="1" applyAlignment="1" applyProtection="1">
      <alignment horizontal="center"/>
      <protection locked="0"/>
    </xf>
    <xf numFmtId="175" fontId="5" fillId="0" borderId="1" xfId="0" applyNumberFormat="1" applyFont="1" applyFill="1" applyBorder="1" applyAlignment="1" applyProtection="1">
      <alignment horizontal="center"/>
      <protection locked="0"/>
    </xf>
    <xf numFmtId="175" fontId="5" fillId="0" borderId="8" xfId="0" applyNumberFormat="1" applyFont="1" applyFill="1" applyBorder="1" applyAlignment="1" applyProtection="1">
      <alignment horizontal="center"/>
      <protection locked="0"/>
    </xf>
    <xf numFmtId="175" fontId="0" fillId="2" borderId="0" xfId="0" applyNumberFormat="1" applyFill="1" applyAlignment="1" applyProtection="1">
      <alignment horizontal="center" vertical="center"/>
    </xf>
    <xf numFmtId="175" fontId="3" fillId="2" borderId="0" xfId="0" applyNumberFormat="1" applyFont="1" applyFill="1" applyProtection="1"/>
    <xf numFmtId="4" fontId="6" fillId="0" borderId="0" xfId="0" applyNumberFormat="1" applyFont="1" applyFill="1" applyAlignment="1">
      <alignment horizontal="right"/>
    </xf>
    <xf numFmtId="166" fontId="6" fillId="3" borderId="0" xfId="0" applyNumberFormat="1" applyFont="1" applyFill="1" applyAlignment="1">
      <alignment horizontal="right"/>
    </xf>
    <xf numFmtId="166" fontId="2" fillId="7" borderId="0" xfId="0" applyNumberFormat="1" applyFont="1" applyFill="1" applyBorder="1" applyAlignment="1" applyProtection="1">
      <alignment horizontal="center"/>
      <protection locked="0"/>
    </xf>
    <xf numFmtId="168" fontId="6" fillId="3" borderId="0" xfId="0" applyNumberFormat="1" applyFont="1" applyFill="1"/>
    <xf numFmtId="0" fontId="14" fillId="0" borderId="0" xfId="0" applyFont="1" applyFill="1" applyAlignment="1"/>
    <xf numFmtId="174" fontId="6" fillId="0" borderId="0" xfId="0" applyNumberFormat="1" applyFont="1" applyFill="1" applyAlignment="1">
      <alignment horizontal="right"/>
    </xf>
    <xf numFmtId="9" fontId="6" fillId="3" borderId="0" xfId="1" applyNumberFormat="1" applyFont="1" applyFill="1"/>
    <xf numFmtId="177" fontId="6" fillId="0" borderId="0" xfId="0" applyNumberFormat="1" applyFont="1" applyFill="1" applyAlignment="1">
      <alignment horizontal="right"/>
    </xf>
    <xf numFmtId="0" fontId="0" fillId="0" borderId="0" xfId="0" applyFill="1" applyProtection="1"/>
    <xf numFmtId="10" fontId="6" fillId="3" borderId="0" xfId="1" applyNumberFormat="1" applyFont="1" applyFill="1"/>
    <xf numFmtId="178" fontId="6" fillId="3" borderId="0" xfId="1" applyNumberFormat="1" applyFont="1" applyFill="1"/>
    <xf numFmtId="9" fontId="5" fillId="0" borderId="4" xfId="1" applyFont="1" applyFill="1" applyBorder="1" applyAlignment="1" applyProtection="1">
      <alignment horizontal="center"/>
      <protection locked="0"/>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10" fillId="4" borderId="2" xfId="0" applyFont="1" applyFill="1" applyBorder="1" applyAlignment="1" applyProtection="1">
      <alignment horizontal="center"/>
    </xf>
    <xf numFmtId="0" fontId="10" fillId="4" borderId="3" xfId="0" applyFont="1" applyFill="1" applyBorder="1" applyAlignment="1" applyProtection="1">
      <alignment horizontal="center"/>
    </xf>
    <xf numFmtId="0" fontId="10" fillId="4" borderId="4" xfId="0" applyFont="1" applyFill="1" applyBorder="1" applyAlignment="1" applyProtection="1">
      <alignment horizontal="center"/>
    </xf>
    <xf numFmtId="0" fontId="4" fillId="0" borderId="0" xfId="0" applyFont="1" applyBorder="1" applyAlignment="1" applyProtection="1">
      <alignment horizontal="right"/>
    </xf>
    <xf numFmtId="9" fontId="5" fillId="0" borderId="0" xfId="1" applyFont="1" applyFill="1" applyBorder="1" applyAlignment="1" applyProtection="1">
      <alignment horizontal="center"/>
      <protection locked="0"/>
    </xf>
    <xf numFmtId="0" fontId="4" fillId="0" borderId="0" xfId="0" applyFont="1" applyFill="1" applyBorder="1" applyAlignment="1" applyProtection="1">
      <alignment horizontal="right"/>
    </xf>
    <xf numFmtId="0" fontId="3" fillId="0" borderId="0" xfId="0" applyFont="1" applyFill="1" applyBorder="1" applyAlignment="1" applyProtection="1">
      <alignment horizontal="right" vertical="center"/>
    </xf>
    <xf numFmtId="167" fontId="0" fillId="0" borderId="0" xfId="1" applyNumberFormat="1" applyFont="1" applyFill="1" applyBorder="1" applyAlignment="1" applyProtection="1">
      <alignment horizontal="center" vertical="center"/>
    </xf>
    <xf numFmtId="0" fontId="17" fillId="0" borderId="0" xfId="0" applyFont="1"/>
    <xf numFmtId="0" fontId="18" fillId="0" borderId="0" xfId="0" applyFont="1"/>
    <xf numFmtId="0" fontId="18" fillId="0" borderId="0" xfId="0" applyFont="1" applyFill="1"/>
    <xf numFmtId="0" fontId="17" fillId="0" borderId="0" xfId="0" applyFont="1" applyFill="1"/>
    <xf numFmtId="0" fontId="15" fillId="0" borderId="0" xfId="0" applyFont="1" applyProtection="1"/>
    <xf numFmtId="0" fontId="15" fillId="0" borderId="0" xfId="0" applyFont="1" applyFill="1" applyProtection="1"/>
    <xf numFmtId="0" fontId="19" fillId="0" borderId="0" xfId="0" applyFont="1" applyFill="1" applyBorder="1" applyAlignment="1" applyProtection="1">
      <alignment horizontal="center"/>
    </xf>
    <xf numFmtId="0" fontId="15" fillId="0" borderId="5" xfId="0" applyFont="1" applyBorder="1" applyAlignment="1" applyProtection="1">
      <alignment horizontal="right"/>
    </xf>
    <xf numFmtId="175" fontId="20" fillId="0" borderId="0" xfId="0" applyNumberFormat="1" applyFont="1" applyFill="1" applyBorder="1" applyAlignment="1" applyProtection="1">
      <alignment horizontal="center" vertical="center"/>
    </xf>
    <xf numFmtId="0" fontId="15" fillId="0" borderId="5" xfId="0" applyFont="1" applyBorder="1" applyProtection="1"/>
    <xf numFmtId="0" fontId="15" fillId="0" borderId="0" xfId="0" applyFont="1" applyBorder="1" applyAlignment="1" applyProtection="1">
      <alignment horizontal="right"/>
    </xf>
    <xf numFmtId="9" fontId="20" fillId="0" borderId="6" xfId="1" applyNumberFormat="1" applyFont="1" applyFill="1" applyBorder="1" applyAlignment="1" applyProtection="1">
      <alignment horizontal="center" vertical="center"/>
      <protection locked="0"/>
    </xf>
    <xf numFmtId="9" fontId="20" fillId="0" borderId="0" xfId="1" applyNumberFormat="1" applyFont="1" applyFill="1" applyBorder="1" applyAlignment="1" applyProtection="1">
      <alignment horizontal="center" vertical="center"/>
    </xf>
    <xf numFmtId="0" fontId="19" fillId="0" borderId="5" xfId="0" applyFont="1" applyFill="1" applyBorder="1" applyAlignment="1" applyProtection="1"/>
    <xf numFmtId="9" fontId="20" fillId="0" borderId="6" xfId="1" applyNumberFormat="1" applyFont="1" applyFill="1" applyBorder="1" applyAlignment="1" applyProtection="1">
      <alignment horizontal="center"/>
      <protection locked="0"/>
    </xf>
    <xf numFmtId="180" fontId="20" fillId="0" borderId="6" xfId="1" applyNumberFormat="1" applyFont="1" applyFill="1" applyBorder="1" applyAlignment="1" applyProtection="1">
      <alignment horizontal="center"/>
      <protection locked="0"/>
    </xf>
    <xf numFmtId="9" fontId="20" fillId="0" borderId="0" xfId="1" applyNumberFormat="1" applyFont="1" applyFill="1" applyBorder="1" applyAlignment="1" applyProtection="1">
      <alignment horizontal="center"/>
    </xf>
    <xf numFmtId="0" fontId="19" fillId="0" borderId="7" xfId="0" applyFont="1" applyFill="1" applyBorder="1" applyAlignment="1" applyProtection="1"/>
    <xf numFmtId="0" fontId="15" fillId="0" borderId="1" xfId="0" applyFont="1" applyBorder="1" applyAlignment="1" applyProtection="1">
      <alignment horizontal="right"/>
    </xf>
    <xf numFmtId="9" fontId="20" fillId="0" borderId="8" xfId="1" applyNumberFormat="1" applyFont="1" applyFill="1" applyBorder="1" applyAlignment="1" applyProtection="1">
      <alignment horizontal="center" vertical="center"/>
      <protection locked="0"/>
    </xf>
    <xf numFmtId="0" fontId="15" fillId="0" borderId="7" xfId="0" applyFont="1" applyBorder="1" applyAlignment="1" applyProtection="1">
      <alignment horizontal="right"/>
    </xf>
    <xf numFmtId="0" fontId="19" fillId="0" borderId="0" xfId="0" applyFont="1" applyFill="1" applyBorder="1" applyAlignment="1" applyProtection="1">
      <alignment vertical="center"/>
    </xf>
    <xf numFmtId="0" fontId="21" fillId="0" borderId="0" xfId="0" applyFont="1" applyFill="1" applyBorder="1" applyAlignment="1" applyProtection="1">
      <alignment horizontal="center" vertical="center" textRotation="90"/>
    </xf>
    <xf numFmtId="0" fontId="21" fillId="0" borderId="0" xfId="0" applyFont="1" applyAlignment="1" applyProtection="1">
      <alignment horizontal="center" vertical="center" textRotation="90"/>
    </xf>
    <xf numFmtId="0" fontId="1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5" fillId="0" borderId="0" xfId="0" applyFont="1" applyBorder="1" applyProtection="1"/>
    <xf numFmtId="166" fontId="20" fillId="0" borderId="0" xfId="0" applyNumberFormat="1" applyFont="1" applyFill="1" applyBorder="1" applyAlignment="1" applyProtection="1">
      <alignment horizontal="center"/>
    </xf>
    <xf numFmtId="0" fontId="15" fillId="0" borderId="0" xfId="0" applyFont="1" applyFill="1" applyBorder="1" applyProtection="1"/>
    <xf numFmtId="0" fontId="16" fillId="0" borderId="3" xfId="0" applyFont="1" applyBorder="1" applyAlignment="1" applyProtection="1">
      <alignment horizontal="center"/>
    </xf>
    <xf numFmtId="0" fontId="16" fillId="0" borderId="4" xfId="0" applyFont="1" applyBorder="1" applyAlignment="1" applyProtection="1">
      <alignment horizontal="center"/>
    </xf>
    <xf numFmtId="175" fontId="20" fillId="0" borderId="0" xfId="0" applyNumberFormat="1" applyFont="1" applyFill="1" applyBorder="1" applyAlignment="1" applyProtection="1">
      <alignment horizontal="center"/>
    </xf>
    <xf numFmtId="166" fontId="20" fillId="0" borderId="0" xfId="1" applyNumberFormat="1" applyFont="1" applyFill="1" applyBorder="1" applyAlignment="1" applyProtection="1">
      <alignment horizontal="center"/>
    </xf>
    <xf numFmtId="0" fontId="15" fillId="0" borderId="0" xfId="0" applyFont="1" applyAlignment="1" applyProtection="1">
      <alignment horizontal="center"/>
    </xf>
    <xf numFmtId="0" fontId="19" fillId="0" borderId="0" xfId="0" applyFont="1" applyFill="1" applyBorder="1" applyAlignment="1" applyProtection="1"/>
    <xf numFmtId="9" fontId="15" fillId="0" borderId="0" xfId="1" applyFont="1" applyAlignment="1" applyProtection="1">
      <alignment horizontal="left"/>
    </xf>
    <xf numFmtId="175" fontId="16" fillId="0" borderId="0" xfId="0" applyNumberFormat="1" applyFont="1" applyFill="1" applyBorder="1" applyAlignment="1" applyProtection="1">
      <alignment horizontal="center"/>
    </xf>
    <xf numFmtId="175" fontId="15" fillId="0" borderId="0" xfId="0" applyNumberFormat="1" applyFont="1" applyProtection="1"/>
    <xf numFmtId="9" fontId="15" fillId="0" borderId="0" xfId="1" applyNumberFormat="1" applyFont="1" applyAlignment="1" applyProtection="1">
      <alignment horizontal="left"/>
    </xf>
    <xf numFmtId="180" fontId="15" fillId="2" borderId="6" xfId="0" applyNumberFormat="1" applyFont="1" applyFill="1" applyBorder="1" applyAlignment="1" applyProtection="1">
      <alignment horizontal="center"/>
    </xf>
    <xf numFmtId="180" fontId="15" fillId="2" borderId="8" xfId="0" applyNumberFormat="1" applyFont="1" applyFill="1" applyBorder="1" applyAlignment="1" applyProtection="1">
      <alignment horizontal="center"/>
    </xf>
    <xf numFmtId="0" fontId="15" fillId="0" borderId="0" xfId="0" applyFont="1" applyAlignment="1" applyProtection="1">
      <alignment horizontal="left"/>
    </xf>
    <xf numFmtId="0" fontId="15" fillId="0" borderId="0" xfId="0" applyFont="1" applyAlignment="1" applyProtection="1">
      <alignment horizontal="right"/>
    </xf>
    <xf numFmtId="166" fontId="15" fillId="0" borderId="0" xfId="0" applyNumberFormat="1" applyFont="1" applyProtection="1"/>
    <xf numFmtId="164" fontId="15" fillId="0" borderId="0" xfId="0" applyNumberFormat="1" applyFont="1" applyProtection="1"/>
    <xf numFmtId="0" fontId="15" fillId="0" borderId="0" xfId="0" applyFont="1" applyBorder="1" applyAlignment="1" applyProtection="1">
      <alignment horizontal="center"/>
    </xf>
    <xf numFmtId="0" fontId="15" fillId="0" borderId="0"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Alignment="1" applyProtection="1"/>
    <xf numFmtId="164" fontId="15" fillId="0" borderId="0" xfId="0" applyNumberFormat="1" applyFont="1" applyFill="1" applyProtection="1"/>
    <xf numFmtId="167" fontId="15" fillId="0" borderId="0" xfId="1" applyNumberFormat="1" applyFont="1" applyProtection="1"/>
    <xf numFmtId="1" fontId="15" fillId="0" borderId="0" xfId="0" applyNumberFormat="1" applyFont="1" applyProtection="1"/>
    <xf numFmtId="1" fontId="15" fillId="0" borderId="0" xfId="0" applyNumberFormat="1" applyFont="1" applyFill="1" applyProtection="1"/>
    <xf numFmtId="0" fontId="19" fillId="4" borderId="12" xfId="0" applyFont="1" applyFill="1" applyBorder="1" applyAlignment="1" applyProtection="1">
      <alignment horizontal="center" vertical="center" wrapText="1"/>
    </xf>
    <xf numFmtId="0" fontId="16" fillId="0" borderId="14" xfId="0" applyFont="1" applyBorder="1" applyAlignment="1" applyProtection="1">
      <alignment horizontal="center"/>
    </xf>
    <xf numFmtId="175" fontId="20" fillId="8" borderId="13" xfId="0" applyNumberFormat="1" applyFont="1" applyFill="1" applyBorder="1" applyAlignment="1" applyProtection="1">
      <alignment horizontal="center"/>
    </xf>
    <xf numFmtId="175" fontId="20" fillId="8" borderId="1" xfId="0" applyNumberFormat="1" applyFont="1" applyFill="1" applyBorder="1" applyAlignment="1" applyProtection="1">
      <alignment horizontal="center"/>
    </xf>
    <xf numFmtId="175" fontId="20" fillId="8" borderId="8" xfId="0" applyNumberFormat="1" applyFont="1" applyFill="1" applyBorder="1" applyAlignment="1" applyProtection="1">
      <alignment horizontal="center"/>
    </xf>
    <xf numFmtId="176" fontId="15" fillId="0" borderId="0" xfId="0" applyNumberFormat="1" applyFont="1" applyAlignment="1" applyProtection="1">
      <alignment horizontal="right"/>
    </xf>
    <xf numFmtId="0" fontId="15" fillId="0" borderId="0" xfId="0" applyFont="1" applyAlignment="1" applyProtection="1">
      <alignment horizontal="right" wrapText="1"/>
    </xf>
    <xf numFmtId="0" fontId="15" fillId="0" borderId="0" xfId="0" applyFont="1" applyFill="1" applyAlignment="1" applyProtection="1">
      <alignment horizontal="left"/>
    </xf>
    <xf numFmtId="166" fontId="15" fillId="0" borderId="0" xfId="0" applyNumberFormat="1" applyFont="1" applyFill="1" applyBorder="1" applyProtection="1"/>
    <xf numFmtId="166" fontId="15" fillId="0" borderId="0" xfId="0" applyNumberFormat="1" applyFont="1" applyBorder="1" applyProtection="1"/>
    <xf numFmtId="164" fontId="23" fillId="0" borderId="1" xfId="0" applyNumberFormat="1" applyFont="1" applyBorder="1" applyAlignment="1" applyProtection="1">
      <alignment horizontal="right"/>
    </xf>
    <xf numFmtId="167" fontId="23" fillId="0" borderId="0" xfId="1" applyNumberFormat="1" applyFont="1" applyProtection="1"/>
    <xf numFmtId="166" fontId="15" fillId="0" borderId="1" xfId="0" applyNumberFormat="1" applyFont="1" applyBorder="1" applyProtection="1"/>
    <xf numFmtId="175" fontId="15" fillId="0" borderId="0" xfId="0" applyNumberFormat="1" applyFont="1" applyBorder="1" applyAlignment="1" applyProtection="1">
      <alignment horizontal="right"/>
    </xf>
    <xf numFmtId="166" fontId="15" fillId="0" borderId="0" xfId="0" applyNumberFormat="1" applyFont="1" applyBorder="1" applyAlignment="1" applyProtection="1">
      <alignment horizontal="right"/>
    </xf>
    <xf numFmtId="164" fontId="23" fillId="0" borderId="0" xfId="0" applyNumberFormat="1" applyFont="1" applyBorder="1" applyAlignment="1" applyProtection="1">
      <alignment horizontal="right"/>
    </xf>
    <xf numFmtId="175" fontId="23" fillId="0" borderId="0" xfId="0" applyNumberFormat="1" applyFont="1" applyProtection="1"/>
    <xf numFmtId="166" fontId="23" fillId="0" borderId="0" xfId="0" applyNumberFormat="1" applyFont="1" applyProtection="1"/>
    <xf numFmtId="164" fontId="20" fillId="0" borderId="0" xfId="0" applyNumberFormat="1" applyFont="1" applyProtection="1"/>
    <xf numFmtId="169" fontId="15" fillId="0" borderId="0" xfId="0" applyNumberFormat="1" applyFont="1" applyProtection="1"/>
    <xf numFmtId="171" fontId="23" fillId="0" borderId="0" xfId="0" applyNumberFormat="1" applyFont="1" applyFill="1" applyBorder="1" applyAlignment="1" applyProtection="1">
      <alignment horizontal="right"/>
    </xf>
    <xf numFmtId="167" fontId="15" fillId="0" borderId="0" xfId="0" applyNumberFormat="1" applyFont="1" applyProtection="1"/>
    <xf numFmtId="168" fontId="20" fillId="0" borderId="0" xfId="0" applyNumberFormat="1" applyFont="1" applyBorder="1" applyAlignment="1" applyProtection="1">
      <alignment horizontal="right" vertical="center"/>
    </xf>
    <xf numFmtId="167" fontId="15" fillId="0" borderId="0" xfId="1" applyNumberFormat="1" applyFont="1" applyAlignment="1" applyProtection="1">
      <alignment horizontal="right"/>
    </xf>
    <xf numFmtId="164" fontId="15" fillId="0" borderId="0" xfId="0" applyNumberFormat="1" applyFont="1" applyAlignment="1" applyProtection="1">
      <alignment horizontal="right"/>
    </xf>
    <xf numFmtId="173" fontId="15" fillId="0" borderId="0" xfId="0" applyNumberFormat="1" applyFont="1" applyAlignment="1" applyProtection="1">
      <alignment horizontal="right"/>
    </xf>
    <xf numFmtId="166" fontId="15" fillId="0" borderId="1" xfId="0" applyNumberFormat="1" applyFont="1" applyBorder="1" applyAlignment="1" applyProtection="1">
      <alignment horizontal="right"/>
    </xf>
    <xf numFmtId="175" fontId="15" fillId="0" borderId="0" xfId="0" applyNumberFormat="1" applyFont="1" applyAlignment="1" applyProtection="1">
      <alignment horizontal="right"/>
    </xf>
    <xf numFmtId="166" fontId="15" fillId="0" borderId="0" xfId="0" applyNumberFormat="1" applyFont="1" applyAlignment="1" applyProtection="1">
      <alignment horizontal="right"/>
    </xf>
    <xf numFmtId="166" fontId="20" fillId="0" borderId="0" xfId="0" applyNumberFormat="1" applyFont="1" applyAlignment="1" applyProtection="1">
      <alignment horizontal="right"/>
    </xf>
    <xf numFmtId="170" fontId="15" fillId="0" borderId="0" xfId="0" applyNumberFormat="1" applyFont="1" applyProtection="1"/>
    <xf numFmtId="166" fontId="15" fillId="0" borderId="0" xfId="0" applyNumberFormat="1" applyFont="1" applyFill="1" applyBorder="1" applyAlignment="1" applyProtection="1">
      <alignment horizontal="right"/>
    </xf>
    <xf numFmtId="170" fontId="15" fillId="0" borderId="0" xfId="0" applyNumberFormat="1" applyFont="1" applyFill="1" applyProtection="1"/>
    <xf numFmtId="175" fontId="23" fillId="0" borderId="0" xfId="0" applyNumberFormat="1" applyFont="1" applyAlignment="1" applyProtection="1">
      <alignment horizontal="right"/>
    </xf>
    <xf numFmtId="166" fontId="23" fillId="0" borderId="0" xfId="0" applyNumberFormat="1" applyFont="1" applyAlignment="1" applyProtection="1">
      <alignment horizontal="right"/>
    </xf>
    <xf numFmtId="167" fontId="15" fillId="0" borderId="0" xfId="1" applyNumberFormat="1" applyFont="1" applyBorder="1" applyProtection="1"/>
    <xf numFmtId="172" fontId="15" fillId="0" borderId="0" xfId="0" applyNumberFormat="1" applyFont="1" applyAlignment="1" applyProtection="1">
      <alignment horizontal="right"/>
    </xf>
    <xf numFmtId="167" fontId="15" fillId="0" borderId="0" xfId="1" applyNumberFormat="1" applyFont="1" applyBorder="1" applyAlignment="1" applyProtection="1">
      <alignment horizontal="right"/>
    </xf>
    <xf numFmtId="168" fontId="15" fillId="0" borderId="0" xfId="0" applyNumberFormat="1" applyFont="1" applyProtection="1"/>
    <xf numFmtId="9" fontId="15" fillId="0" borderId="0" xfId="1" applyFont="1" applyProtection="1"/>
    <xf numFmtId="166" fontId="15" fillId="0" borderId="0" xfId="0" applyNumberFormat="1" applyFont="1" applyFill="1" applyProtection="1"/>
    <xf numFmtId="175" fontId="15" fillId="2" borderId="0" xfId="0" applyNumberFormat="1" applyFont="1" applyFill="1" applyProtection="1"/>
    <xf numFmtId="169" fontId="15" fillId="2" borderId="0" xfId="0" applyNumberFormat="1" applyFont="1" applyFill="1" applyProtection="1"/>
    <xf numFmtId="166" fontId="15" fillId="2" borderId="0" xfId="0" applyNumberFormat="1" applyFont="1" applyFill="1" applyProtection="1"/>
    <xf numFmtId="167" fontId="15" fillId="0" borderId="0" xfId="0" applyNumberFormat="1" applyFont="1" applyAlignment="1" applyProtection="1">
      <alignment horizontal="right"/>
    </xf>
    <xf numFmtId="167" fontId="15" fillId="0" borderId="0" xfId="0" applyNumberFormat="1" applyFont="1" applyFill="1" applyProtection="1"/>
    <xf numFmtId="9" fontId="15" fillId="0" borderId="0" xfId="1" applyFont="1" applyFill="1" applyProtection="1"/>
    <xf numFmtId="176" fontId="15" fillId="0" borderId="0" xfId="0" applyNumberFormat="1" applyFont="1" applyProtection="1"/>
    <xf numFmtId="0" fontId="15" fillId="5" borderId="0" xfId="0" applyFont="1" applyFill="1" applyProtection="1"/>
    <xf numFmtId="167" fontId="23" fillId="5" borderId="0" xfId="1" applyNumberFormat="1" applyFont="1" applyFill="1" applyAlignment="1" applyProtection="1">
      <alignment horizontal="center"/>
    </xf>
    <xf numFmtId="167" fontId="23" fillId="5" borderId="0" xfId="1" applyNumberFormat="1" applyFont="1" applyFill="1" applyProtection="1"/>
    <xf numFmtId="0" fontId="15" fillId="5" borderId="0" xfId="0" applyFont="1" applyFill="1" applyAlignment="1" applyProtection="1">
      <alignment horizontal="right"/>
    </xf>
    <xf numFmtId="0" fontId="15" fillId="5" borderId="0" xfId="0" applyFont="1" applyFill="1" applyAlignment="1" applyProtection="1">
      <alignment horizontal="center"/>
    </xf>
    <xf numFmtId="167" fontId="15" fillId="5" borderId="0" xfId="1" applyNumberFormat="1" applyFont="1" applyFill="1" applyAlignment="1" applyProtection="1">
      <alignment horizontal="center"/>
    </xf>
    <xf numFmtId="167" fontId="15" fillId="5" borderId="0" xfId="1" applyNumberFormat="1" applyFont="1" applyFill="1" applyProtection="1"/>
    <xf numFmtId="168" fontId="23" fillId="5" borderId="0" xfId="1" applyNumberFormat="1" applyFont="1" applyFill="1" applyAlignment="1" applyProtection="1">
      <alignment horizontal="center"/>
    </xf>
    <xf numFmtId="167" fontId="15" fillId="5" borderId="0" xfId="1" applyNumberFormat="1" applyFont="1" applyFill="1" applyAlignment="1" applyProtection="1">
      <alignment horizontal="right"/>
    </xf>
    <xf numFmtId="167" fontId="15" fillId="0" borderId="0" xfId="1" applyNumberFormat="1" applyFont="1" applyAlignment="1" applyProtection="1">
      <alignment horizontal="center"/>
    </xf>
    <xf numFmtId="164" fontId="15" fillId="0" borderId="0" xfId="0" applyNumberFormat="1" applyFont="1" applyAlignment="1" applyProtection="1"/>
    <xf numFmtId="164" fontId="15" fillId="0" borderId="0" xfId="1" applyNumberFormat="1" applyFont="1" applyProtection="1"/>
    <xf numFmtId="168" fontId="18" fillId="0" borderId="0" xfId="0" applyNumberFormat="1" applyFont="1"/>
    <xf numFmtId="3" fontId="22" fillId="0" borderId="0" xfId="0" applyNumberFormat="1" applyFont="1" applyFill="1"/>
    <xf numFmtId="3" fontId="18" fillId="0" borderId="0" xfId="0" applyNumberFormat="1" applyFont="1"/>
    <xf numFmtId="0" fontId="24" fillId="0" borderId="0" xfId="0" applyFont="1" applyFill="1" applyAlignment="1" applyProtection="1">
      <alignment horizontal="right"/>
    </xf>
    <xf numFmtId="166" fontId="24" fillId="0" borderId="0" xfId="2" applyNumberFormat="1" applyFont="1" applyFill="1" applyAlignment="1" applyProtection="1">
      <alignment horizontal="center"/>
    </xf>
    <xf numFmtId="0" fontId="18" fillId="0" borderId="0" xfId="0" applyFont="1" applyAlignment="1">
      <alignment horizontal="right"/>
    </xf>
    <xf numFmtId="166" fontId="18" fillId="0" borderId="0" xfId="0" applyNumberFormat="1" applyFont="1"/>
    <xf numFmtId="0" fontId="19"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180" fontId="19" fillId="0" borderId="0" xfId="0" applyNumberFormat="1" applyFont="1" applyFill="1" applyAlignment="1" applyProtection="1">
      <alignment horizontal="center"/>
    </xf>
    <xf numFmtId="0" fontId="16" fillId="0" borderId="0" xfId="0" applyFont="1" applyFill="1" applyBorder="1" applyProtection="1"/>
    <xf numFmtId="175" fontId="20" fillId="0" borderId="3" xfId="1" applyNumberFormat="1" applyFont="1" applyFill="1" applyBorder="1" applyAlignment="1" applyProtection="1">
      <alignment horizontal="center"/>
    </xf>
    <xf numFmtId="0" fontId="19" fillId="4" borderId="5" xfId="0" applyFont="1" applyFill="1" applyBorder="1" applyAlignment="1" applyProtection="1">
      <alignment vertical="center"/>
    </xf>
    <xf numFmtId="0" fontId="16" fillId="0" borderId="0" xfId="0" applyFont="1" applyFill="1" applyBorder="1" applyAlignment="1" applyProtection="1">
      <alignment horizontal="center"/>
    </xf>
    <xf numFmtId="0" fontId="19" fillId="4" borderId="5" xfId="0" applyFont="1" applyFill="1" applyBorder="1" applyAlignment="1" applyProtection="1">
      <alignment horizontal="center" vertical="center" wrapText="1"/>
    </xf>
    <xf numFmtId="0" fontId="16" fillId="0" borderId="2"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0" xfId="0" applyFont="1" applyAlignment="1" applyProtection="1">
      <alignment horizontal="center" vertical="center" textRotation="90"/>
    </xf>
    <xf numFmtId="0" fontId="25"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xf>
    <xf numFmtId="0" fontId="16" fillId="0" borderId="3" xfId="0" applyFont="1" applyBorder="1" applyAlignment="1" applyProtection="1">
      <alignment vertical="center"/>
    </xf>
    <xf numFmtId="180" fontId="20" fillId="0" borderId="0" xfId="0" applyNumberFormat="1" applyFont="1" applyFill="1" applyBorder="1" applyAlignment="1" applyProtection="1">
      <alignment horizontal="center" vertical="center"/>
    </xf>
    <xf numFmtId="0" fontId="15" fillId="0" borderId="0" xfId="0" applyFont="1" applyProtection="1">
      <protection locked="0"/>
    </xf>
    <xf numFmtId="175" fontId="20" fillId="0" borderId="0" xfId="0" applyNumberFormat="1" applyFont="1" applyProtection="1"/>
    <xf numFmtId="175" fontId="20" fillId="0" borderId="0" xfId="0" applyNumberFormat="1" applyFont="1" applyFill="1" applyProtection="1"/>
    <xf numFmtId="179" fontId="20" fillId="0" borderId="0" xfId="0" applyNumberFormat="1" applyFont="1" applyProtection="1"/>
    <xf numFmtId="1" fontId="20" fillId="0" borderId="0" xfId="0" applyNumberFormat="1" applyFont="1" applyBorder="1" applyAlignment="1" applyProtection="1">
      <alignment horizontal="right" vertical="center"/>
    </xf>
    <xf numFmtId="3" fontId="20" fillId="0" borderId="0" xfId="0" applyNumberFormat="1" applyFont="1" applyBorder="1" applyAlignment="1" applyProtection="1">
      <alignment horizontal="right" vertical="center"/>
    </xf>
    <xf numFmtId="175" fontId="20" fillId="0" borderId="0" xfId="0" applyNumberFormat="1" applyFont="1" applyBorder="1" applyProtection="1"/>
    <xf numFmtId="175" fontId="20" fillId="0" borderId="1" xfId="0" applyNumberFormat="1" applyFont="1" applyBorder="1" applyProtection="1"/>
    <xf numFmtId="175" fontId="20" fillId="0" borderId="0" xfId="0" applyNumberFormat="1" applyFont="1" applyAlignment="1" applyProtection="1">
      <alignment horizontal="right"/>
    </xf>
    <xf numFmtId="175" fontId="20" fillId="0" borderId="0" xfId="0" applyNumberFormat="1" applyFont="1" applyFill="1" applyAlignment="1" applyProtection="1">
      <alignment horizontal="right"/>
    </xf>
    <xf numFmtId="175" fontId="20" fillId="5" borderId="0" xfId="0" applyNumberFormat="1" applyFont="1" applyFill="1" applyProtection="1"/>
    <xf numFmtId="0" fontId="16" fillId="0" borderId="0" xfId="0" applyFont="1" applyBorder="1" applyAlignment="1" applyProtection="1">
      <alignment horizontal="center" vertical="center"/>
    </xf>
    <xf numFmtId="180" fontId="15" fillId="2" borderId="0" xfId="0" applyNumberFormat="1" applyFont="1" applyFill="1" applyBorder="1" applyAlignment="1" applyProtection="1">
      <alignment horizontal="center"/>
    </xf>
    <xf numFmtId="180" fontId="15" fillId="2" borderId="1" xfId="0" applyNumberFormat="1" applyFont="1" applyFill="1" applyBorder="1" applyAlignment="1" applyProtection="1">
      <alignment horizontal="center"/>
    </xf>
    <xf numFmtId="0" fontId="20" fillId="0" borderId="5"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wrapText="1"/>
    </xf>
    <xf numFmtId="0" fontId="16" fillId="0" borderId="1" xfId="0" applyFont="1" applyBorder="1" applyAlignment="1" applyProtection="1">
      <alignment horizontal="right" vertical="center"/>
    </xf>
    <xf numFmtId="0" fontId="16" fillId="0" borderId="0" xfId="0" applyFont="1" applyBorder="1" applyAlignment="1" applyProtection="1">
      <alignment horizontal="center"/>
    </xf>
    <xf numFmtId="175" fontId="20" fillId="8" borderId="0" xfId="0" applyNumberFormat="1" applyFont="1" applyFill="1" applyBorder="1" applyAlignment="1" applyProtection="1">
      <alignment horizontal="center"/>
    </xf>
    <xf numFmtId="180" fontId="16" fillId="0" borderId="0" xfId="0" applyNumberFormat="1" applyFont="1" applyFill="1" applyBorder="1" applyAlignment="1" applyProtection="1">
      <alignment horizontal="center" vertical="center"/>
    </xf>
    <xf numFmtId="166" fontId="19" fillId="0" borderId="0" xfId="0" applyNumberFormat="1" applyFont="1" applyFill="1" applyBorder="1" applyAlignment="1" applyProtection="1">
      <alignment horizontal="center"/>
    </xf>
    <xf numFmtId="180" fontId="15" fillId="0" borderId="0" xfId="0" applyNumberFormat="1" applyFont="1" applyFill="1" applyBorder="1" applyAlignment="1" applyProtection="1">
      <alignment horizontal="center"/>
    </xf>
    <xf numFmtId="0" fontId="16" fillId="0" borderId="0" xfId="0" applyFont="1" applyFill="1" applyBorder="1" applyAlignment="1" applyProtection="1">
      <alignment vertical="center" wrapText="1"/>
    </xf>
    <xf numFmtId="0" fontId="15" fillId="0" borderId="7" xfId="0" applyFont="1" applyBorder="1" applyProtection="1"/>
    <xf numFmtId="9" fontId="20" fillId="0" borderId="5" xfId="1" applyNumberFormat="1" applyFont="1" applyFill="1" applyBorder="1" applyAlignment="1" applyProtection="1">
      <alignment horizontal="center" vertical="center"/>
    </xf>
    <xf numFmtId="9" fontId="20" fillId="0" borderId="7" xfId="1" applyNumberFormat="1" applyFont="1" applyFill="1" applyBorder="1" applyAlignment="1" applyProtection="1">
      <alignment horizontal="center" vertical="center"/>
    </xf>
    <xf numFmtId="0" fontId="15" fillId="0" borderId="1" xfId="0" applyFont="1" applyBorder="1" applyProtection="1"/>
    <xf numFmtId="180" fontId="20" fillId="0" borderId="8"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xf>
    <xf numFmtId="9" fontId="5" fillId="0" borderId="6" xfId="1" applyFont="1" applyFill="1" applyBorder="1" applyAlignment="1" applyProtection="1">
      <alignment horizontal="center"/>
      <protection locked="0"/>
    </xf>
    <xf numFmtId="0" fontId="20" fillId="0" borderId="0" xfId="0" applyFont="1" applyFill="1" applyBorder="1" applyAlignment="1" applyProtection="1">
      <alignment vertical="center"/>
    </xf>
    <xf numFmtId="180" fontId="20" fillId="0" borderId="0" xfId="0" applyNumberFormat="1" applyFont="1" applyFill="1" applyBorder="1" applyAlignment="1" applyProtection="1">
      <alignment vertical="center"/>
    </xf>
    <xf numFmtId="180" fontId="20" fillId="0" borderId="0" xfId="1" applyNumberFormat="1" applyFont="1" applyFill="1" applyBorder="1" applyAlignment="1" applyProtection="1">
      <alignment vertical="center"/>
    </xf>
    <xf numFmtId="0" fontId="16" fillId="0" borderId="0" xfId="0" applyFont="1"/>
    <xf numFmtId="0" fontId="16" fillId="0" borderId="18" xfId="0" applyFont="1" applyBorder="1" applyAlignment="1">
      <alignment horizontal="center" vertical="center" textRotation="45" wrapText="1"/>
    </xf>
    <xf numFmtId="0" fontId="16" fillId="0" borderId="0" xfId="0" applyFont="1" applyAlignment="1">
      <alignment textRotation="45" wrapText="1"/>
    </xf>
    <xf numFmtId="0" fontId="18" fillId="0" borderId="18" xfId="0" applyFont="1" applyBorder="1"/>
    <xf numFmtId="0" fontId="18" fillId="10" borderId="18" xfId="0" applyFont="1" applyFill="1" applyBorder="1"/>
    <xf numFmtId="0" fontId="25" fillId="9" borderId="0" xfId="0" applyFont="1" applyFill="1" applyAlignment="1" applyProtection="1">
      <alignment horizontal="center" vertical="center" wrapText="1"/>
    </xf>
    <xf numFmtId="180" fontId="20" fillId="0" borderId="6" xfId="0" applyNumberFormat="1" applyFont="1" applyFill="1" applyBorder="1" applyAlignment="1" applyProtection="1">
      <alignment horizontal="center" vertical="center"/>
      <protection locked="0"/>
    </xf>
    <xf numFmtId="166" fontId="15" fillId="0" borderId="1" xfId="0" applyNumberFormat="1" applyFont="1" applyFill="1" applyBorder="1" applyProtection="1"/>
    <xf numFmtId="182" fontId="6" fillId="0" borderId="0" xfId="0" applyNumberFormat="1" applyFont="1" applyFill="1"/>
    <xf numFmtId="181" fontId="20" fillId="0" borderId="0" xfId="0" applyNumberFormat="1" applyFont="1" applyFill="1" applyBorder="1" applyAlignment="1" applyProtection="1">
      <alignment horizontal="center" vertical="center"/>
      <protection locked="0"/>
    </xf>
    <xf numFmtId="0" fontId="16" fillId="0" borderId="16" xfId="0" applyFont="1" applyBorder="1" applyAlignment="1">
      <alignment horizontal="center" vertical="center" textRotation="45" wrapText="1"/>
    </xf>
    <xf numFmtId="0" fontId="18" fillId="0" borderId="18" xfId="0" applyFont="1" applyFill="1" applyBorder="1"/>
    <xf numFmtId="0" fontId="18" fillId="0" borderId="0" xfId="0" applyFont="1" applyFill="1" applyAlignment="1">
      <alignment vertical="top" wrapText="1"/>
    </xf>
    <xf numFmtId="0" fontId="14" fillId="13" borderId="19" xfId="0" applyFont="1" applyFill="1" applyBorder="1" applyAlignment="1">
      <alignment vertical="center" wrapText="1"/>
    </xf>
    <xf numFmtId="0" fontId="14" fillId="13" borderId="20" xfId="0" applyFont="1" applyFill="1" applyBorder="1" applyAlignment="1">
      <alignment vertical="center" wrapText="1"/>
    </xf>
    <xf numFmtId="0" fontId="15" fillId="0" borderId="18" xfId="0" applyFont="1" applyBorder="1" applyAlignment="1">
      <alignment vertical="top" wrapText="1"/>
    </xf>
    <xf numFmtId="0" fontId="26" fillId="0" borderId="18" xfId="0" applyFont="1" applyBorder="1" applyAlignment="1">
      <alignment vertical="top" wrapText="1"/>
    </xf>
    <xf numFmtId="0" fontId="30" fillId="0" borderId="0" xfId="0" applyFont="1"/>
    <xf numFmtId="0" fontId="29" fillId="0" borderId="0" xfId="0" applyFont="1"/>
    <xf numFmtId="181" fontId="20" fillId="0" borderId="6" xfId="0" applyNumberFormat="1" applyFont="1" applyFill="1" applyBorder="1" applyAlignment="1" applyProtection="1">
      <alignment horizontal="center" vertical="center"/>
      <protection locked="0"/>
    </xf>
    <xf numFmtId="181" fontId="20" fillId="0" borderId="8" xfId="0" applyNumberFormat="1" applyFont="1" applyFill="1" applyBorder="1" applyAlignment="1" applyProtection="1">
      <alignment horizontal="center" vertical="center"/>
      <protection locked="0"/>
    </xf>
    <xf numFmtId="180" fontId="20" fillId="0" borderId="6" xfId="0" applyNumberFormat="1" applyFont="1" applyFill="1" applyBorder="1" applyAlignment="1" applyProtection="1">
      <alignment horizontal="center" vertical="center"/>
      <protection locked="0"/>
    </xf>
    <xf numFmtId="0" fontId="18" fillId="10" borderId="15" xfId="0" applyFont="1" applyFill="1" applyBorder="1"/>
    <xf numFmtId="0" fontId="18" fillId="0" borderId="15" xfId="0" applyFont="1" applyBorder="1"/>
    <xf numFmtId="0" fontId="18" fillId="0" borderId="15" xfId="0" applyFont="1" applyFill="1" applyBorder="1"/>
    <xf numFmtId="0" fontId="18" fillId="10" borderId="9" xfId="0" applyFont="1" applyFill="1" applyBorder="1"/>
    <xf numFmtId="0" fontId="18" fillId="0" borderId="9" xfId="0" applyFont="1" applyBorder="1"/>
    <xf numFmtId="0" fontId="18" fillId="0" borderId="18" xfId="0" applyFont="1" applyFill="1" applyBorder="1"/>
    <xf numFmtId="0" fontId="18" fillId="10" borderId="18" xfId="0" applyFont="1" applyFill="1" applyBorder="1"/>
    <xf numFmtId="0" fontId="18" fillId="0" borderId="18" xfId="0" applyFont="1" applyBorder="1"/>
    <xf numFmtId="0" fontId="18" fillId="3" borderId="18" xfId="0" applyFont="1" applyFill="1" applyBorder="1"/>
    <xf numFmtId="0" fontId="0" fillId="0" borderId="0" xfId="0"/>
    <xf numFmtId="0" fontId="18" fillId="0" borderId="18" xfId="0" applyFont="1" applyFill="1" applyBorder="1"/>
    <xf numFmtId="0" fontId="18" fillId="10" borderId="18" xfId="0" applyFont="1" applyFill="1" applyBorder="1"/>
    <xf numFmtId="0" fontId="18" fillId="0" borderId="18" xfId="0" applyFont="1" applyBorder="1"/>
    <xf numFmtId="0" fontId="18" fillId="3" borderId="18" xfId="0" applyFont="1" applyFill="1" applyBorder="1"/>
    <xf numFmtId="0" fontId="0" fillId="0" borderId="0" xfId="0"/>
    <xf numFmtId="0" fontId="18" fillId="0" borderId="0" xfId="0" applyFont="1"/>
    <xf numFmtId="0" fontId="18" fillId="0" borderId="0" xfId="0" applyFont="1" applyFill="1"/>
    <xf numFmtId="0" fontId="17" fillId="0" borderId="0" xfId="0" applyFont="1" applyFill="1"/>
    <xf numFmtId="0" fontId="18" fillId="0" borderId="18" xfId="0" applyFont="1" applyFill="1" applyBorder="1"/>
    <xf numFmtId="0" fontId="18" fillId="10" borderId="18" xfId="0" applyFont="1" applyFill="1" applyBorder="1"/>
    <xf numFmtId="0" fontId="18" fillId="0" borderId="18" xfId="0" applyFont="1" applyBorder="1"/>
    <xf numFmtId="0" fontId="32" fillId="0" borderId="18" xfId="0" applyFont="1" applyBorder="1"/>
    <xf numFmtId="0" fontId="18" fillId="3" borderId="18" xfId="0" applyFont="1" applyFill="1" applyBorder="1"/>
    <xf numFmtId="0" fontId="18" fillId="3" borderId="15" xfId="0" applyFont="1" applyFill="1" applyBorder="1"/>
    <xf numFmtId="0" fontId="18" fillId="10" borderId="15" xfId="0" applyFont="1" applyFill="1" applyBorder="1"/>
    <xf numFmtId="0" fontId="18" fillId="0" borderId="15" xfId="0" applyFont="1" applyFill="1" applyBorder="1"/>
    <xf numFmtId="0" fontId="18" fillId="0" borderId="15" xfId="0" applyFont="1" applyBorder="1"/>
    <xf numFmtId="0" fontId="17" fillId="11" borderId="9" xfId="0" applyFont="1" applyFill="1" applyBorder="1" applyAlignment="1">
      <alignment horizontal="center" vertical="center"/>
    </xf>
    <xf numFmtId="0" fontId="17" fillId="11" borderId="11" xfId="0" applyFont="1" applyFill="1" applyBorder="1" applyAlignment="1">
      <alignment horizontal="center" vertical="center"/>
    </xf>
    <xf numFmtId="0" fontId="17" fillId="11"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17" fillId="12" borderId="5" xfId="0" applyFont="1" applyFill="1" applyBorder="1" applyAlignment="1">
      <alignment horizontal="center" vertical="center"/>
    </xf>
    <xf numFmtId="0" fontId="17" fillId="12" borderId="0" xfId="0" applyFont="1" applyFill="1" applyBorder="1" applyAlignment="1">
      <alignment horizontal="center" vertical="center"/>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17" fillId="8" borderId="9"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10" xfId="0" applyFont="1" applyFill="1" applyBorder="1" applyAlignment="1">
      <alignment horizontal="center" vertical="center"/>
    </xf>
    <xf numFmtId="0" fontId="19" fillId="4" borderId="2"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6" fillId="0" borderId="0" xfId="0" applyFont="1" applyAlignment="1" applyProtection="1">
      <alignment horizontal="center" vertical="center" textRotation="90"/>
    </xf>
    <xf numFmtId="0" fontId="16" fillId="0" borderId="0" xfId="0" applyFont="1" applyFill="1" applyBorder="1" applyAlignment="1" applyProtection="1">
      <alignment horizontal="center"/>
    </xf>
    <xf numFmtId="0" fontId="19" fillId="4" borderId="12"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166" fontId="19" fillId="4" borderId="2" xfId="0" applyNumberFormat="1" applyFont="1" applyFill="1" applyBorder="1" applyAlignment="1" applyProtection="1">
      <alignment horizontal="center"/>
    </xf>
    <xf numFmtId="166" fontId="19" fillId="4" borderId="3" xfId="0" applyNumberFormat="1" applyFont="1" applyFill="1" applyBorder="1" applyAlignment="1" applyProtection="1">
      <alignment horizontal="center"/>
    </xf>
    <xf numFmtId="166" fontId="19" fillId="4" borderId="4" xfId="0" applyNumberFormat="1" applyFont="1" applyFill="1" applyBorder="1" applyAlignment="1" applyProtection="1">
      <alignment horizontal="center"/>
    </xf>
    <xf numFmtId="0" fontId="16" fillId="0" borderId="3" xfId="0" applyFont="1" applyBorder="1" applyAlignment="1" applyProtection="1">
      <alignment horizontal="center" vertical="center"/>
    </xf>
    <xf numFmtId="180" fontId="20" fillId="0" borderId="5" xfId="1" applyNumberFormat="1" applyFont="1" applyFill="1" applyBorder="1" applyAlignment="1" applyProtection="1">
      <alignment horizontal="center" vertical="center"/>
      <protection locked="0"/>
    </xf>
    <xf numFmtId="180" fontId="20" fillId="0" borderId="7" xfId="1" applyNumberFormat="1" applyFont="1" applyFill="1" applyBorder="1" applyAlignment="1" applyProtection="1">
      <alignment horizontal="center" vertical="center"/>
      <protection locked="0"/>
    </xf>
    <xf numFmtId="180" fontId="20" fillId="0" borderId="0" xfId="1" applyNumberFormat="1" applyFont="1" applyFill="1" applyBorder="1" applyAlignment="1" applyProtection="1">
      <alignment horizontal="center" vertical="center"/>
      <protection locked="0"/>
    </xf>
    <xf numFmtId="180" fontId="20" fillId="0" borderId="1" xfId="1" applyNumberFormat="1" applyFont="1" applyFill="1" applyBorder="1" applyAlignment="1" applyProtection="1">
      <alignment horizontal="center" vertical="center"/>
      <protection locked="0"/>
    </xf>
    <xf numFmtId="180" fontId="20" fillId="0" borderId="5" xfId="0" applyNumberFormat="1" applyFont="1" applyFill="1" applyBorder="1" applyAlignment="1" applyProtection="1">
      <alignment horizontal="center" vertical="center"/>
      <protection locked="0"/>
    </xf>
    <xf numFmtId="180" fontId="20" fillId="0" borderId="7" xfId="0" applyNumberFormat="1" applyFont="1" applyFill="1" applyBorder="1" applyAlignment="1" applyProtection="1">
      <alignment horizontal="center" vertical="center"/>
      <protection locked="0"/>
    </xf>
    <xf numFmtId="181" fontId="20" fillId="0" borderId="4" xfId="0" applyNumberFormat="1" applyFont="1" applyFill="1" applyBorder="1" applyAlignment="1" applyProtection="1">
      <alignment horizontal="center" vertical="center"/>
      <protection locked="0"/>
    </xf>
    <xf numFmtId="181" fontId="20" fillId="0" borderId="6" xfId="0" applyNumberFormat="1" applyFont="1" applyFill="1" applyBorder="1" applyAlignment="1" applyProtection="1">
      <alignment horizontal="center" vertical="center"/>
      <protection locked="0"/>
    </xf>
    <xf numFmtId="181" fontId="20" fillId="0" borderId="8" xfId="0" applyNumberFormat="1" applyFont="1" applyFill="1" applyBorder="1" applyAlignment="1" applyProtection="1">
      <alignment horizontal="center" vertical="center"/>
      <protection locked="0"/>
    </xf>
    <xf numFmtId="3" fontId="20" fillId="0" borderId="4" xfId="0" applyNumberFormat="1" applyFont="1" applyFill="1" applyBorder="1" applyAlignment="1" applyProtection="1">
      <alignment horizontal="center" vertical="center"/>
      <protection locked="0"/>
    </xf>
    <xf numFmtId="3" fontId="20" fillId="0" borderId="6" xfId="0" applyNumberFormat="1" applyFont="1" applyFill="1" applyBorder="1" applyAlignment="1" applyProtection="1">
      <alignment horizontal="center" vertical="center"/>
      <protection locked="0"/>
    </xf>
    <xf numFmtId="3" fontId="20" fillId="0" borderId="8" xfId="0" applyNumberFormat="1"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wrapText="1"/>
    </xf>
    <xf numFmtId="180" fontId="20" fillId="0" borderId="0" xfId="0" applyNumberFormat="1" applyFont="1" applyFill="1" applyBorder="1" applyAlignment="1" applyProtection="1">
      <alignment horizontal="center" vertical="center"/>
      <protection locked="0"/>
    </xf>
    <xf numFmtId="180" fontId="20" fillId="0" borderId="1" xfId="0" applyNumberFormat="1" applyFont="1" applyFill="1" applyBorder="1" applyAlignment="1" applyProtection="1">
      <alignment horizontal="center" vertical="center"/>
      <protection locked="0"/>
    </xf>
    <xf numFmtId="180" fontId="20" fillId="0" borderId="6" xfId="0" applyNumberFormat="1" applyFont="1" applyFill="1" applyBorder="1" applyAlignment="1" applyProtection="1">
      <alignment horizontal="center" vertical="center"/>
      <protection locked="0"/>
    </xf>
    <xf numFmtId="180" fontId="20" fillId="0" borderId="8" xfId="0" applyNumberFormat="1"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180" fontId="20" fillId="0" borderId="4" xfId="0" applyNumberFormat="1" applyFont="1" applyFill="1" applyBorder="1" applyAlignment="1" applyProtection="1">
      <alignment horizontal="center" vertical="center"/>
      <protection locked="0"/>
    </xf>
    <xf numFmtId="0" fontId="19" fillId="4" borderId="15" xfId="0" applyFont="1" applyFill="1" applyBorder="1" applyAlignment="1" applyProtection="1">
      <alignment horizontal="center" vertical="center" wrapText="1"/>
    </xf>
    <xf numFmtId="0" fontId="19" fillId="4" borderId="1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protection locked="0"/>
    </xf>
    <xf numFmtId="0" fontId="25" fillId="9" borderId="0" xfId="0" applyFont="1" applyFill="1" applyAlignment="1" applyProtection="1">
      <alignment horizontal="center" vertical="center" wrapText="1"/>
    </xf>
    <xf numFmtId="0" fontId="21" fillId="2" borderId="2" xfId="0" applyFont="1" applyFill="1" applyBorder="1" applyAlignment="1" applyProtection="1">
      <alignment horizontal="right" vertical="center" wrapText="1"/>
    </xf>
    <xf numFmtId="0" fontId="21" fillId="2" borderId="3" xfId="0" applyFont="1" applyFill="1" applyBorder="1" applyAlignment="1" applyProtection="1">
      <alignment horizontal="right" vertical="center" wrapText="1"/>
    </xf>
    <xf numFmtId="0" fontId="21" fillId="2" borderId="7" xfId="0" applyFont="1" applyFill="1" applyBorder="1" applyAlignment="1" applyProtection="1">
      <alignment horizontal="right" vertical="center" wrapText="1"/>
    </xf>
    <xf numFmtId="0" fontId="21" fillId="2" borderId="1" xfId="0" applyFont="1" applyFill="1" applyBorder="1" applyAlignment="1" applyProtection="1">
      <alignment horizontal="right" vertical="center" wrapText="1"/>
    </xf>
    <xf numFmtId="180" fontId="16" fillId="2" borderId="4" xfId="0" applyNumberFormat="1" applyFont="1" applyFill="1" applyBorder="1" applyAlignment="1" applyProtection="1">
      <alignment horizontal="center" vertical="center"/>
    </xf>
    <xf numFmtId="180" fontId="16" fillId="2" borderId="8" xfId="0" applyNumberFormat="1" applyFont="1" applyFill="1" applyBorder="1" applyAlignment="1" applyProtection="1">
      <alignment horizontal="center" vertical="center"/>
    </xf>
    <xf numFmtId="180" fontId="20" fillId="0" borderId="6" xfId="1" applyNumberFormat="1" applyFont="1" applyFill="1" applyBorder="1" applyAlignment="1" applyProtection="1">
      <alignment horizontal="center" vertical="center"/>
      <protection locked="0"/>
    </xf>
    <xf numFmtId="180" fontId="20" fillId="0" borderId="8" xfId="1" applyNumberFormat="1" applyFont="1" applyFill="1" applyBorder="1" applyAlignment="1" applyProtection="1">
      <alignment horizontal="center" vertical="center"/>
      <protection locked="0"/>
    </xf>
    <xf numFmtId="0" fontId="19" fillId="4" borderId="0" xfId="0" applyFont="1" applyFill="1" applyAlignment="1" applyProtection="1">
      <alignment horizontal="center" vertical="center" textRotation="90"/>
    </xf>
    <xf numFmtId="0" fontId="16" fillId="0" borderId="0" xfId="0" applyFont="1" applyAlignment="1" applyProtection="1">
      <alignment horizontal="right" vertical="center"/>
    </xf>
    <xf numFmtId="0" fontId="9" fillId="4" borderId="0"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9" fillId="4" borderId="15"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right"/>
    </xf>
    <xf numFmtId="0" fontId="13" fillId="6" borderId="9"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7" fillId="3" borderId="0" xfId="0" applyFont="1" applyFill="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Revenue Composition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'Key Variables'!$G$63:$H$63</c:f>
              <c:strCache>
                <c:ptCount val="2"/>
                <c:pt idx="0">
                  <c:v>Recurring</c:v>
                </c:pt>
              </c:strCache>
            </c:strRef>
          </c:tx>
          <c:spPr>
            <a:solidFill>
              <a:schemeClr val="accent1"/>
            </a:solidFill>
            <a:ln>
              <a:noFill/>
            </a:ln>
            <a:effectLst/>
          </c:spPr>
          <c:invertIfNegative val="0"/>
          <c:cat>
            <c:numRef>
              <c:f>'Key Variables'!$I$62:$L$62</c:f>
              <c:numCache>
                <c:formatCode>General</c:formatCode>
                <c:ptCount val="4"/>
                <c:pt idx="0">
                  <c:v>1</c:v>
                </c:pt>
                <c:pt idx="1">
                  <c:v>2</c:v>
                </c:pt>
                <c:pt idx="2">
                  <c:v>3</c:v>
                </c:pt>
                <c:pt idx="3">
                  <c:v>4</c:v>
                </c:pt>
              </c:numCache>
            </c:numRef>
          </c:cat>
          <c:val>
            <c:numRef>
              <c:f>'Key Variables'!$I$63:$L$63</c:f>
              <c:numCache>
                <c:formatCode>"$"#,##0</c:formatCode>
                <c:ptCount val="4"/>
                <c:pt idx="0">
                  <c:v>286812.5</c:v>
                </c:pt>
                <c:pt idx="1">
                  <c:v>911916.66666666698</c:v>
                </c:pt>
                <c:pt idx="2">
                  <c:v>1713520.833333334</c:v>
                </c:pt>
                <c:pt idx="3">
                  <c:v>2691625.0000000005</c:v>
                </c:pt>
              </c:numCache>
            </c:numRef>
          </c:val>
          <c:extLst>
            <c:ext xmlns:c16="http://schemas.microsoft.com/office/drawing/2014/chart" uri="{C3380CC4-5D6E-409C-BE32-E72D297353CC}">
              <c16:uniqueId val="{00000000-1AD1-4EB1-AF04-AF34BF3969A5}"/>
            </c:ext>
          </c:extLst>
        </c:ser>
        <c:ser>
          <c:idx val="1"/>
          <c:order val="1"/>
          <c:tx>
            <c:strRef>
              <c:f>'Key Variables'!$G$64:$H$64</c:f>
              <c:strCache>
                <c:ptCount val="2"/>
                <c:pt idx="0">
                  <c:v>Non-Recurring</c:v>
                </c:pt>
              </c:strCache>
            </c:strRef>
          </c:tx>
          <c:spPr>
            <a:solidFill>
              <a:schemeClr val="accent2"/>
            </a:solidFill>
            <a:ln>
              <a:noFill/>
            </a:ln>
            <a:effectLst/>
          </c:spPr>
          <c:invertIfNegative val="0"/>
          <c:cat>
            <c:numRef>
              <c:f>'Key Variables'!$I$62:$L$62</c:f>
              <c:numCache>
                <c:formatCode>General</c:formatCode>
                <c:ptCount val="4"/>
                <c:pt idx="0">
                  <c:v>1</c:v>
                </c:pt>
                <c:pt idx="1">
                  <c:v>2</c:v>
                </c:pt>
                <c:pt idx="2">
                  <c:v>3</c:v>
                </c:pt>
                <c:pt idx="3">
                  <c:v>4</c:v>
                </c:pt>
              </c:numCache>
            </c:numRef>
          </c:cat>
          <c:val>
            <c:numRef>
              <c:f>'Key Variables'!$I$64:$L$64</c:f>
              <c:numCache>
                <c:formatCode>"$"#,##0</c:formatCode>
                <c:ptCount val="4"/>
                <c:pt idx="0">
                  <c:v>2210468.75</c:v>
                </c:pt>
                <c:pt idx="1">
                  <c:v>2980885.4166666665</c:v>
                </c:pt>
                <c:pt idx="2">
                  <c:v>3766406.25</c:v>
                </c:pt>
                <c:pt idx="3" formatCode="&quot;$&quot;#,##0;[Red]\-&quot;$&quot;#,##0">
                  <c:v>4564427.083333333</c:v>
                </c:pt>
              </c:numCache>
            </c:numRef>
          </c:val>
          <c:extLst>
            <c:ext xmlns:c16="http://schemas.microsoft.com/office/drawing/2014/chart" uri="{C3380CC4-5D6E-409C-BE32-E72D297353CC}">
              <c16:uniqueId val="{00000001-1AD1-4EB1-AF04-AF34BF3969A5}"/>
            </c:ext>
          </c:extLst>
        </c:ser>
        <c:dLbls>
          <c:showLegendKey val="0"/>
          <c:showVal val="0"/>
          <c:showCatName val="0"/>
          <c:showSerName val="0"/>
          <c:showPercent val="0"/>
          <c:showBubbleSize val="0"/>
        </c:dLbls>
        <c:gapWidth val="150"/>
        <c:overlap val="100"/>
        <c:axId val="1215685312"/>
        <c:axId val="1215688576"/>
      </c:barChart>
      <c:catAx>
        <c:axId val="121568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15688576"/>
        <c:crosses val="autoZero"/>
        <c:auto val="1"/>
        <c:lblAlgn val="ctr"/>
        <c:lblOffset val="100"/>
        <c:noMultiLvlLbl val="0"/>
      </c:catAx>
      <c:valAx>
        <c:axId val="12156885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15685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aseline="0">
                <a:latin typeface="Segoe UI" panose="020B0502040204020203" pitchFamily="34" charset="0"/>
                <a:cs typeface="Segoe UI" panose="020B0502040204020203" pitchFamily="34" charset="0"/>
              </a:rPr>
              <a:t>Approximate Valuation Impact</a:t>
            </a:r>
            <a:endParaRPr lang="en-US">
              <a:latin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1"/>
          <c:order val="1"/>
          <c:spPr>
            <a:solidFill>
              <a:srgbClr val="00B050"/>
            </a:solidFill>
            <a:ln>
              <a:noFill/>
            </a:ln>
            <a:effectLst/>
          </c:spPr>
          <c:invertIfNegative val="0"/>
          <c:val>
            <c:numRef>
              <c:f>'Key Variables'!$I$78:$L$78</c:f>
              <c:numCache>
                <c:formatCode>"$"#,##0;[Red]\-"$"#,##0</c:formatCode>
                <c:ptCount val="4"/>
                <c:pt idx="0">
                  <c:v>957207.03125</c:v>
                </c:pt>
                <c:pt idx="1">
                  <c:v>2204225.260416667</c:v>
                </c:pt>
                <c:pt idx="2">
                  <c:v>3762610.677083333</c:v>
                </c:pt>
                <c:pt idx="3">
                  <c:v>5630996.0937500009</c:v>
                </c:pt>
              </c:numCache>
            </c:numRef>
          </c:val>
          <c:extLst>
            <c:ext xmlns:c16="http://schemas.microsoft.com/office/drawing/2014/chart" uri="{C3380CC4-5D6E-409C-BE32-E72D297353CC}">
              <c16:uniqueId val="{00000000-C6D8-4D47-B6A7-A6BD77C2760E}"/>
            </c:ext>
          </c:extLst>
        </c:ser>
        <c:dLbls>
          <c:showLegendKey val="0"/>
          <c:showVal val="0"/>
          <c:showCatName val="0"/>
          <c:showSerName val="0"/>
          <c:showPercent val="0"/>
          <c:showBubbleSize val="0"/>
        </c:dLbls>
        <c:gapWidth val="150"/>
        <c:axId val="1215688032"/>
        <c:axId val="1215686400"/>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'Key Variables'!$I$75:$L$75</c15:sqref>
                        </c15:formulaRef>
                      </c:ext>
                    </c:extLst>
                    <c:numCache>
                      <c:formatCode>General</c:formatCode>
                      <c:ptCount val="4"/>
                      <c:pt idx="0">
                        <c:v>1</c:v>
                      </c:pt>
                      <c:pt idx="1">
                        <c:v>2</c:v>
                      </c:pt>
                      <c:pt idx="2">
                        <c:v>3</c:v>
                      </c:pt>
                      <c:pt idx="3">
                        <c:v>4</c:v>
                      </c:pt>
                    </c:numCache>
                  </c:numRef>
                </c:val>
                <c:extLst>
                  <c:ext xmlns:c16="http://schemas.microsoft.com/office/drawing/2014/chart" uri="{C3380CC4-5D6E-409C-BE32-E72D297353CC}">
                    <c16:uniqueId val="{00000001-C6D8-4D47-B6A7-A6BD77C2760E}"/>
                  </c:ext>
                </c:extLst>
              </c15:ser>
            </c15:filteredBarSeries>
          </c:ext>
        </c:extLst>
      </c:barChart>
      <c:catAx>
        <c:axId val="1215688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15686400"/>
        <c:crossesAt val="0"/>
        <c:auto val="1"/>
        <c:lblAlgn val="ctr"/>
        <c:lblOffset val="100"/>
        <c:noMultiLvlLbl val="0"/>
      </c:catAx>
      <c:valAx>
        <c:axId val="12156864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1568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1">
                <a:latin typeface="Segoe UI" panose="020B0502040204020203" pitchFamily="34" charset="0"/>
                <a:cs typeface="Segoe UI" panose="020B0502040204020203" pitchFamily="34" charset="0"/>
              </a:rPr>
              <a:t>Total Users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bar"/>
        <c:grouping val="clustered"/>
        <c:varyColors val="0"/>
        <c:ser>
          <c:idx val="0"/>
          <c:order val="0"/>
          <c:tx>
            <c:strRef>
              <c:f>Users!$B$38</c:f>
              <c:strCache>
                <c:ptCount val="1"/>
                <c:pt idx="0">
                  <c:v>IP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Users!$C$38:$F$38</c:f>
              <c:numCache>
                <c:formatCode>#,##0</c:formatCode>
                <c:ptCount val="4"/>
                <c:pt idx="0">
                  <c:v>112.5</c:v>
                </c:pt>
                <c:pt idx="1">
                  <c:v>262.50000000000006</c:v>
                </c:pt>
                <c:pt idx="2">
                  <c:v>450.00000000000028</c:v>
                </c:pt>
                <c:pt idx="3">
                  <c:v>675.00000000000023</c:v>
                </c:pt>
              </c:numCache>
            </c:numRef>
          </c:val>
          <c:extLst>
            <c:ext xmlns:c16="http://schemas.microsoft.com/office/drawing/2014/chart" uri="{C3380CC4-5D6E-409C-BE32-E72D297353CC}">
              <c16:uniqueId val="{00000000-CEE1-47BB-A4A0-79D52644458B}"/>
            </c:ext>
          </c:extLst>
        </c:ser>
        <c:ser>
          <c:idx val="1"/>
          <c:order val="1"/>
          <c:tx>
            <c:strRef>
              <c:f>Users!$B$39</c:f>
              <c:strCache>
                <c:ptCount val="1"/>
                <c:pt idx="0">
                  <c:v>O365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Users!$C$39:$F$39</c:f>
              <c:numCache>
                <c:formatCode>#,##0</c:formatCode>
                <c:ptCount val="4"/>
                <c:pt idx="0">
                  <c:v>375</c:v>
                </c:pt>
                <c:pt idx="1">
                  <c:v>875.00000000000023</c:v>
                </c:pt>
                <c:pt idx="2">
                  <c:v>1500.0000000000009</c:v>
                </c:pt>
                <c:pt idx="3">
                  <c:v>2250.0000000000009</c:v>
                </c:pt>
              </c:numCache>
            </c:numRef>
          </c:val>
          <c:extLst>
            <c:ext xmlns:c16="http://schemas.microsoft.com/office/drawing/2014/chart" uri="{C3380CC4-5D6E-409C-BE32-E72D297353CC}">
              <c16:uniqueId val="{00000001-CEE1-47BB-A4A0-79D52644458B}"/>
            </c:ext>
          </c:extLst>
        </c:ser>
        <c:ser>
          <c:idx val="2"/>
          <c:order val="2"/>
          <c:tx>
            <c:strRef>
              <c:f>Users!$B$40</c:f>
              <c:strCache>
                <c:ptCount val="1"/>
                <c:pt idx="0">
                  <c:v>CRM Online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Users!$C$40:$F$40</c:f>
              <c:numCache>
                <c:formatCode>#,##0</c:formatCode>
                <c:ptCount val="4"/>
                <c:pt idx="0">
                  <c:v>112.5</c:v>
                </c:pt>
                <c:pt idx="1">
                  <c:v>262.50000000000006</c:v>
                </c:pt>
                <c:pt idx="2">
                  <c:v>450.00000000000028</c:v>
                </c:pt>
                <c:pt idx="3">
                  <c:v>675.00000000000034</c:v>
                </c:pt>
              </c:numCache>
            </c:numRef>
          </c:val>
          <c:extLst>
            <c:ext xmlns:c16="http://schemas.microsoft.com/office/drawing/2014/chart" uri="{C3380CC4-5D6E-409C-BE32-E72D297353CC}">
              <c16:uniqueId val="{00000002-CEE1-47BB-A4A0-79D52644458B}"/>
            </c:ext>
          </c:extLst>
        </c:ser>
        <c:ser>
          <c:idx val="3"/>
          <c:order val="3"/>
          <c:tx>
            <c:strRef>
              <c:f>Users!$B$41</c:f>
              <c:strCache>
                <c:ptCount val="1"/>
                <c:pt idx="0">
                  <c:v>Managed 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Users!$C$41:$F$41</c:f>
              <c:numCache>
                <c:formatCode>#,##0</c:formatCode>
                <c:ptCount val="4"/>
                <c:pt idx="0">
                  <c:v>375</c:v>
                </c:pt>
                <c:pt idx="1">
                  <c:v>875.00000000000023</c:v>
                </c:pt>
                <c:pt idx="2">
                  <c:v>1500.0000000000009</c:v>
                </c:pt>
                <c:pt idx="3">
                  <c:v>2250.0000000000009</c:v>
                </c:pt>
              </c:numCache>
            </c:numRef>
          </c:val>
          <c:extLst>
            <c:ext xmlns:c16="http://schemas.microsoft.com/office/drawing/2014/chart" uri="{C3380CC4-5D6E-409C-BE32-E72D297353CC}">
              <c16:uniqueId val="{00000003-CEE1-47BB-A4A0-79D52644458B}"/>
            </c:ext>
          </c:extLst>
        </c:ser>
        <c:ser>
          <c:idx val="4"/>
          <c:order val="4"/>
          <c:tx>
            <c:strRef>
              <c:f>Users!$B$42</c:f>
              <c:strCache>
                <c:ptCount val="1"/>
                <c:pt idx="0">
                  <c:v>Azure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Users!$C$37:$F$37</c:f>
              <c:numCache>
                <c:formatCode>General</c:formatCode>
                <c:ptCount val="4"/>
                <c:pt idx="0">
                  <c:v>1</c:v>
                </c:pt>
                <c:pt idx="1">
                  <c:v>2</c:v>
                </c:pt>
                <c:pt idx="2">
                  <c:v>3</c:v>
                </c:pt>
                <c:pt idx="3">
                  <c:v>4</c:v>
                </c:pt>
              </c:numCache>
            </c:numRef>
          </c:cat>
          <c:val>
            <c:numRef>
              <c:f>Users!$C$42:$F$42</c:f>
              <c:numCache>
                <c:formatCode>#,##0</c:formatCode>
                <c:ptCount val="4"/>
                <c:pt idx="0">
                  <c:v>375</c:v>
                </c:pt>
                <c:pt idx="1">
                  <c:v>875.00000000000023</c:v>
                </c:pt>
                <c:pt idx="2">
                  <c:v>1500.0000000000009</c:v>
                </c:pt>
                <c:pt idx="3">
                  <c:v>2250.0000000000009</c:v>
                </c:pt>
              </c:numCache>
            </c:numRef>
          </c:val>
          <c:extLst>
            <c:ext xmlns:c16="http://schemas.microsoft.com/office/drawing/2014/chart" uri="{C3380CC4-5D6E-409C-BE32-E72D297353CC}">
              <c16:uniqueId val="{00000004-CEE1-47BB-A4A0-79D52644458B}"/>
            </c:ext>
          </c:extLst>
        </c:ser>
        <c:dLbls>
          <c:showLegendKey val="0"/>
          <c:showVal val="0"/>
          <c:showCatName val="0"/>
          <c:showSerName val="0"/>
          <c:showPercent val="0"/>
          <c:showBubbleSize val="0"/>
        </c:dLbls>
        <c:gapWidth val="150"/>
        <c:axId val="1215690752"/>
        <c:axId val="1215692928"/>
        <c:extLst/>
      </c:barChart>
      <c:catAx>
        <c:axId val="1215690752"/>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sz="1400" b="1">
                    <a:latin typeface="Segoe UI" panose="020B0502040204020203" pitchFamily="34" charset="0"/>
                    <a:cs typeface="Segoe UI" panose="020B0502040204020203" pitchFamily="34" charset="0"/>
                  </a:rPr>
                  <a:t>Year</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692928"/>
        <c:crosses val="autoZero"/>
        <c:auto val="1"/>
        <c:lblAlgn val="ctr"/>
        <c:lblOffset val="100"/>
        <c:noMultiLvlLbl val="0"/>
      </c:catAx>
      <c:valAx>
        <c:axId val="1215692928"/>
        <c:scaling>
          <c:orientation val="minMax"/>
        </c:scaling>
        <c:delete val="1"/>
        <c:axPos val="b"/>
        <c:numFmt formatCode="#,##0" sourceLinked="1"/>
        <c:majorTickMark val="none"/>
        <c:minorTickMark val="none"/>
        <c:tickLblPos val="nextTo"/>
        <c:crossAx val="1215690752"/>
        <c:crosses val="autoZero"/>
        <c:crossBetween val="between"/>
      </c:valAx>
      <c:spPr>
        <a:noFill/>
        <a:ln>
          <a:noFill/>
        </a:ln>
        <a:effectLst/>
      </c:spPr>
    </c:plotArea>
    <c:legend>
      <c:legendPos val="b"/>
      <c:layout>
        <c:manualLayout>
          <c:xMode val="edge"/>
          <c:yMode val="edge"/>
          <c:x val="0.77136161531429459"/>
          <c:y val="0.93982334172597715"/>
          <c:w val="0.22863837514878835"/>
          <c:h val="3.71348014396896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lumMod val="50000"/>
                  </a:schemeClr>
                </a:solidFill>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Cumulative Cash Flow</a:t>
            </a:r>
          </a:p>
        </c:rich>
      </c:tx>
      <c:layout>
        <c:manualLayout>
          <c:xMode val="edge"/>
          <c:yMode val="edge"/>
          <c:x val="0.31345695716877175"/>
          <c:y val="0.21342512908777969"/>
        </c:manualLayout>
      </c:layout>
      <c:overlay val="0"/>
    </c:title>
    <c:autoTitleDeleted val="0"/>
    <c:plotArea>
      <c:layout>
        <c:manualLayout>
          <c:layoutTarget val="inner"/>
          <c:xMode val="edge"/>
          <c:yMode val="edge"/>
          <c:x val="6.1898466325320235E-2"/>
          <c:y val="2.5304888171029903E-2"/>
          <c:w val="0.93619047051366877"/>
          <c:h val="0.8552995333414648"/>
        </c:manualLayout>
      </c:layout>
      <c:barChart>
        <c:barDir val="col"/>
        <c:grouping val="clustered"/>
        <c:varyColors val="0"/>
        <c:ser>
          <c:idx val="1"/>
          <c:order val="0"/>
          <c:tx>
            <c:strRef>
              <c:f>'Cash Flow'!$B$45</c:f>
              <c:strCache>
                <c:ptCount val="1"/>
                <c:pt idx="0">
                  <c:v>Monthly Cumulative Cash Flow</c:v>
                </c:pt>
              </c:strCache>
            </c:strRef>
          </c:tx>
          <c:spPr>
            <a:ln w="25400">
              <a:noFill/>
            </a:ln>
          </c:spPr>
          <c:invertIfNegative val="0"/>
          <c:val>
            <c:numRef>
              <c:f>'Cash Flow'!$C$45:$AX$45</c:f>
              <c:numCache>
                <c:formatCode>"$"#,##0</c:formatCode>
                <c:ptCount val="48"/>
                <c:pt idx="0">
                  <c:v>-20982.031249999971</c:v>
                </c:pt>
                <c:pt idx="1">
                  <c:v>-40699.739583333314</c:v>
                </c:pt>
                <c:pt idx="2">
                  <c:v>-59153.124999999971</c:v>
                </c:pt>
                <c:pt idx="3">
                  <c:v>-76342.187499999942</c:v>
                </c:pt>
                <c:pt idx="4">
                  <c:v>-92266.927083333285</c:v>
                </c:pt>
                <c:pt idx="5">
                  <c:v>-106927.34374999994</c:v>
                </c:pt>
                <c:pt idx="6">
                  <c:v>-120232.2916666666</c:v>
                </c:pt>
                <c:pt idx="7">
                  <c:v>-132181.77083333326</c:v>
                </c:pt>
                <c:pt idx="8">
                  <c:v>-142775.78124999991</c:v>
                </c:pt>
                <c:pt idx="9">
                  <c:v>-152014.32291666657</c:v>
                </c:pt>
                <c:pt idx="10">
                  <c:v>-159897.39583333323</c:v>
                </c:pt>
                <c:pt idx="11">
                  <c:v>-166424.99999999988</c:v>
                </c:pt>
                <c:pt idx="12">
                  <c:v>-185892.70833333326</c:v>
                </c:pt>
                <c:pt idx="13">
                  <c:v>-203583.50694444438</c:v>
                </c:pt>
                <c:pt idx="14">
                  <c:v>-219497.39583333331</c:v>
                </c:pt>
                <c:pt idx="15">
                  <c:v>-233634.37499999997</c:v>
                </c:pt>
                <c:pt idx="16">
                  <c:v>-245994.4444444445</c:v>
                </c:pt>
                <c:pt idx="17">
                  <c:v>-256577.60416666674</c:v>
                </c:pt>
                <c:pt idx="18">
                  <c:v>-265353.47222222236</c:v>
                </c:pt>
                <c:pt idx="19">
                  <c:v>-272322.04861111124</c:v>
                </c:pt>
                <c:pt idx="20">
                  <c:v>-277483.33333333355</c:v>
                </c:pt>
                <c:pt idx="21">
                  <c:v>-280837.32638888917</c:v>
                </c:pt>
                <c:pt idx="22">
                  <c:v>-282384.0277777781</c:v>
                </c:pt>
                <c:pt idx="23">
                  <c:v>-282123.43750000035</c:v>
                </c:pt>
                <c:pt idx="24">
                  <c:v>-274711.50173611147</c:v>
                </c:pt>
                <c:pt idx="25">
                  <c:v>-265070.83333333366</c:v>
                </c:pt>
                <c:pt idx="26">
                  <c:v>-253201.43229166698</c:v>
                </c:pt>
                <c:pt idx="27">
                  <c:v>-239103.29861111136</c:v>
                </c:pt>
                <c:pt idx="28">
                  <c:v>-222776.43229166686</c:v>
                </c:pt>
                <c:pt idx="29">
                  <c:v>-204220.83333333343</c:v>
                </c:pt>
                <c:pt idx="30">
                  <c:v>-183406.11979166674</c:v>
                </c:pt>
                <c:pt idx="31">
                  <c:v>-160332.29166666669</c:v>
                </c:pt>
                <c:pt idx="32">
                  <c:v>-134999.34895833337</c:v>
                </c:pt>
                <c:pt idx="33">
                  <c:v>-107407.29166666663</c:v>
                </c:pt>
                <c:pt idx="34">
                  <c:v>-77556.119791666628</c:v>
                </c:pt>
                <c:pt idx="35">
                  <c:v>-45445.833333333256</c:v>
                </c:pt>
                <c:pt idx="36">
                  <c:v>-24314.887152777635</c:v>
                </c:pt>
                <c:pt idx="37">
                  <c:v>-503.38541666656965</c:v>
                </c:pt>
                <c:pt idx="38">
                  <c:v>25988.671875000175</c:v>
                </c:pt>
                <c:pt idx="39">
                  <c:v>55161.284722222539</c:v>
                </c:pt>
                <c:pt idx="40">
                  <c:v>87014.453125000349</c:v>
                </c:pt>
                <c:pt idx="41">
                  <c:v>121548.17708333378</c:v>
                </c:pt>
                <c:pt idx="42">
                  <c:v>158792.83854166721</c:v>
                </c:pt>
                <c:pt idx="43">
                  <c:v>198748.43750000064</c:v>
                </c:pt>
                <c:pt idx="44">
                  <c:v>241414.97395833407</c:v>
                </c:pt>
                <c:pt idx="45">
                  <c:v>286792.44791666738</c:v>
                </c:pt>
                <c:pt idx="46">
                  <c:v>334880.85937500081</c:v>
                </c:pt>
                <c:pt idx="47">
                  <c:v>385680.20833333425</c:v>
                </c:pt>
              </c:numCache>
            </c:numRef>
          </c:val>
          <c:extLst>
            <c:ext xmlns:c16="http://schemas.microsoft.com/office/drawing/2014/chart" uri="{C3380CC4-5D6E-409C-BE32-E72D297353CC}">
              <c16:uniqueId val="{00000000-9ADF-4E01-912B-9D00A60A2EE6}"/>
            </c:ext>
          </c:extLst>
        </c:ser>
        <c:dLbls>
          <c:showLegendKey val="0"/>
          <c:showVal val="0"/>
          <c:showCatName val="0"/>
          <c:showSerName val="0"/>
          <c:showPercent val="0"/>
          <c:showBubbleSize val="0"/>
        </c:dLbls>
        <c:gapWidth val="150"/>
        <c:axId val="1215693472"/>
        <c:axId val="1215694560"/>
      </c:barChart>
      <c:catAx>
        <c:axId val="1215693472"/>
        <c:scaling>
          <c:orientation val="minMax"/>
        </c:scaling>
        <c:delete val="0"/>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Month</a:t>
                </a:r>
              </a:p>
            </c:rich>
          </c:tx>
          <c:layout>
            <c:manualLayout>
              <c:xMode val="edge"/>
              <c:yMode val="edge"/>
              <c:x val="0.47068318958237715"/>
              <c:y val="0.93762460415339643"/>
            </c:manualLayout>
          </c:layout>
          <c:overlay val="0"/>
        </c:title>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1215694560"/>
        <c:crosses val="autoZero"/>
        <c:auto val="1"/>
        <c:lblAlgn val="ctr"/>
        <c:lblOffset val="100"/>
        <c:noMultiLvlLbl val="0"/>
      </c:catAx>
      <c:valAx>
        <c:axId val="1215694560"/>
        <c:scaling>
          <c:orientation val="minMax"/>
        </c:scaling>
        <c:delete val="0"/>
        <c:axPos val="l"/>
        <c:numFmt formatCode="&quot;$&quot;#,##0" sourceLinked="0"/>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121569347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9515908212272631E-2"/>
          <c:y val="7.508090614886731E-2"/>
          <c:w val="0.86397784535676325"/>
          <c:h val="0.81086950538949609"/>
        </c:manualLayout>
      </c:layout>
      <c:bar3DChart>
        <c:barDir val="bar"/>
        <c:grouping val="stacked"/>
        <c:varyColors val="0"/>
        <c:ser>
          <c:idx val="0"/>
          <c:order val="0"/>
          <c:tx>
            <c:strRef>
              <c:f>Resourcing!$B$36</c:f>
              <c:strCache>
                <c:ptCount val="1"/>
                <c:pt idx="0">
                  <c:v>Project Services</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A3-452F-9217-E4D7F22E70A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A3-452F-9217-E4D7F22E70A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A3-452F-9217-E4D7F22E70A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A3-452F-9217-E4D7F22E70AF}"/>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A3-452F-9217-E4D7F22E70AF}"/>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Resourcing!$C$35:$F$35</c:f>
              <c:numCache>
                <c:formatCode>General</c:formatCode>
                <c:ptCount val="4"/>
                <c:pt idx="0">
                  <c:v>1</c:v>
                </c:pt>
                <c:pt idx="1">
                  <c:v>2</c:v>
                </c:pt>
                <c:pt idx="2">
                  <c:v>3</c:v>
                </c:pt>
                <c:pt idx="3">
                  <c:v>4</c:v>
                </c:pt>
              </c:numCache>
            </c:numRef>
          </c:cat>
          <c:val>
            <c:numRef>
              <c:f>Resourcing!$C$36:$F$36</c:f>
              <c:numCache>
                <c:formatCode>0.0</c:formatCode>
                <c:ptCount val="4"/>
                <c:pt idx="0">
                  <c:v>2.6473958333333334</c:v>
                </c:pt>
                <c:pt idx="1">
                  <c:v>3.8210069444444441</c:v>
                </c:pt>
                <c:pt idx="2">
                  <c:v>5.1255208333333337</c:v>
                </c:pt>
                <c:pt idx="3">
                  <c:v>6.5383680555555568</c:v>
                </c:pt>
              </c:numCache>
            </c:numRef>
          </c:val>
          <c:extLst>
            <c:ext xmlns:c16="http://schemas.microsoft.com/office/drawing/2014/chart" uri="{C3380CC4-5D6E-409C-BE32-E72D297353CC}">
              <c16:uniqueId val="{00000005-6CA3-452F-9217-E4D7F22E70AF}"/>
            </c:ext>
          </c:extLst>
        </c:ser>
        <c:ser>
          <c:idx val="1"/>
          <c:order val="1"/>
          <c:tx>
            <c:strRef>
              <c:f>Resourcing!$B$37</c:f>
              <c:strCache>
                <c:ptCount val="1"/>
                <c:pt idx="0">
                  <c:v>Managed Services</c:v>
                </c:pt>
              </c:strCache>
            </c:strRef>
          </c:tx>
          <c:invertIfNegative val="0"/>
          <c:dLbls>
            <c:dLbl>
              <c:idx val="0"/>
              <c:layout>
                <c:manualLayout>
                  <c:x val="5.6722010758113108E-4"/>
                  <c:y val="1.2980882923454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A3-452F-9217-E4D7F22E70AF}"/>
                </c:ext>
              </c:extLst>
            </c:dLbl>
            <c:dLbl>
              <c:idx val="1"/>
              <c:layout>
                <c:manualLayout>
                  <c:x val="3.14847907275599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A3-452F-9217-E4D7F22E70AF}"/>
                </c:ext>
              </c:extLst>
            </c:dLbl>
            <c:dLbl>
              <c:idx val="2"/>
              <c:layout>
                <c:manualLayout>
                  <c:x val="9.2239086094998111E-3"/>
                  <c:y val="-8.1081081081081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A3-452F-9217-E4D7F22E70AF}"/>
                </c:ext>
              </c:extLst>
            </c:dLbl>
            <c:dLbl>
              <c:idx val="3"/>
              <c:layout>
                <c:manualLayout>
                  <c:x val="2.8622537025054635E-2"/>
                  <c:y val="-2.7027027027027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A3-452F-9217-E4D7F22E70AF}"/>
                </c:ext>
              </c:extLst>
            </c:dLbl>
            <c:dLbl>
              <c:idx val="4"/>
              <c:layout>
                <c:manualLayout>
                  <c:x val="2.5760283322549069E-2"/>
                  <c:y val="-2.7027027027027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A3-452F-9217-E4D7F22E70AF}"/>
                </c:ext>
              </c:extLst>
            </c:dLbl>
            <c:spPr>
              <a:noFill/>
              <a:ln>
                <a:noFill/>
              </a:ln>
              <a:effectLst/>
            </c:spPr>
            <c:txPr>
              <a:bodyPr wrap="square" lIns="38100" tIns="19050" rIns="38100" bIns="19050" anchor="ctr">
                <a:spAutoFit/>
              </a:bodyPr>
              <a:lstStyle/>
              <a:p>
                <a:pPr>
                  <a:defRPr>
                    <a:latin typeface="Segoe UI" panose="020B0502040204020203" pitchFamily="34" charset="0"/>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Resourcing!$C$35:$F$35</c:f>
              <c:numCache>
                <c:formatCode>General</c:formatCode>
                <c:ptCount val="4"/>
                <c:pt idx="0">
                  <c:v>1</c:v>
                </c:pt>
                <c:pt idx="1">
                  <c:v>2</c:v>
                </c:pt>
                <c:pt idx="2">
                  <c:v>3</c:v>
                </c:pt>
                <c:pt idx="3">
                  <c:v>4</c:v>
                </c:pt>
              </c:numCache>
            </c:numRef>
          </c:cat>
          <c:val>
            <c:numRef>
              <c:f>Resourcing!$C$37:$F$37</c:f>
              <c:numCache>
                <c:formatCode>0.0</c:formatCode>
                <c:ptCount val="4"/>
                <c:pt idx="0">
                  <c:v>1.45234375</c:v>
                </c:pt>
                <c:pt idx="1">
                  <c:v>4.6177083333333355</c:v>
                </c:pt>
                <c:pt idx="2">
                  <c:v>8.6768229166666728</c:v>
                </c:pt>
                <c:pt idx="3">
                  <c:v>13.629687500000001</c:v>
                </c:pt>
              </c:numCache>
            </c:numRef>
          </c:val>
          <c:extLst>
            <c:ext xmlns:c16="http://schemas.microsoft.com/office/drawing/2014/chart" uri="{C3380CC4-5D6E-409C-BE32-E72D297353CC}">
              <c16:uniqueId val="{0000000B-6CA3-452F-9217-E4D7F22E70AF}"/>
            </c:ext>
          </c:extLst>
        </c:ser>
        <c:ser>
          <c:idx val="2"/>
          <c:order val="2"/>
          <c:tx>
            <c:strRef>
              <c:f>Resourcing!$B$38</c:f>
              <c:strCache>
                <c:ptCount val="1"/>
                <c:pt idx="0">
                  <c:v>Sales &amp; Marketing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Resourcing!$C$35:$F$35</c:f>
              <c:numCache>
                <c:formatCode>General</c:formatCode>
                <c:ptCount val="4"/>
                <c:pt idx="0">
                  <c:v>1</c:v>
                </c:pt>
                <c:pt idx="1">
                  <c:v>2</c:v>
                </c:pt>
                <c:pt idx="2">
                  <c:v>3</c:v>
                </c:pt>
                <c:pt idx="3">
                  <c:v>4</c:v>
                </c:pt>
              </c:numCache>
            </c:numRef>
          </c:cat>
          <c:val>
            <c:numRef>
              <c:f>Resourcing!$C$38:$F$38</c:f>
              <c:numCache>
                <c:formatCode>0.0</c:formatCode>
                <c:ptCount val="4"/>
                <c:pt idx="0">
                  <c:v>7.6839423076923081</c:v>
                </c:pt>
                <c:pt idx="1">
                  <c:v>11.977852564102566</c:v>
                </c:pt>
                <c:pt idx="2">
                  <c:v>12.64598557692308</c:v>
                </c:pt>
                <c:pt idx="3">
                  <c:v>16.744735576923077</c:v>
                </c:pt>
              </c:numCache>
            </c:numRef>
          </c:val>
          <c:extLst>
            <c:ext xmlns:c16="http://schemas.microsoft.com/office/drawing/2014/chart" uri="{C3380CC4-5D6E-409C-BE32-E72D297353CC}">
              <c16:uniqueId val="{0000000C-6CA3-452F-9217-E4D7F22E70AF}"/>
            </c:ext>
          </c:extLst>
        </c:ser>
        <c:dLbls>
          <c:showLegendKey val="0"/>
          <c:showVal val="0"/>
          <c:showCatName val="0"/>
          <c:showSerName val="0"/>
          <c:showPercent val="0"/>
          <c:showBubbleSize val="0"/>
        </c:dLbls>
        <c:gapWidth val="150"/>
        <c:shape val="box"/>
        <c:axId val="1215682592"/>
        <c:axId val="1215684768"/>
        <c:axId val="0"/>
      </c:bar3DChart>
      <c:catAx>
        <c:axId val="1215682592"/>
        <c:scaling>
          <c:orientation val="minMax"/>
        </c:scaling>
        <c:delete val="0"/>
        <c:axPos val="l"/>
        <c:title>
          <c:tx>
            <c:rich>
              <a:bodyPr rot="-5400000" vert="horz"/>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Year</a:t>
                </a:r>
              </a:p>
            </c:rich>
          </c:tx>
          <c:layout>
            <c:manualLayout>
              <c:xMode val="edge"/>
              <c:yMode val="edge"/>
              <c:x val="2.4755741677577409E-2"/>
              <c:y val="0.44495293428127308"/>
            </c:manualLayout>
          </c:layout>
          <c:overlay val="0"/>
        </c:title>
        <c:numFmt formatCode="General" sourceLinked="1"/>
        <c:majorTickMark val="out"/>
        <c:minorTickMark val="none"/>
        <c:tickLblPos val="nextTo"/>
        <c:crossAx val="1215684768"/>
        <c:crosses val="autoZero"/>
        <c:auto val="1"/>
        <c:lblAlgn val="ctr"/>
        <c:lblOffset val="100"/>
        <c:noMultiLvlLbl val="0"/>
      </c:catAx>
      <c:valAx>
        <c:axId val="1215684768"/>
        <c:scaling>
          <c:orientation val="minMax"/>
        </c:scaling>
        <c:delete val="1"/>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FTE's Required</a:t>
                </a:r>
              </a:p>
            </c:rich>
          </c:tx>
          <c:layout>
            <c:manualLayout>
              <c:xMode val="edge"/>
              <c:yMode val="edge"/>
              <c:x val="0.46093361725399901"/>
              <c:y val="0.94596172565807912"/>
            </c:manualLayout>
          </c:layout>
          <c:overlay val="0"/>
        </c:title>
        <c:numFmt formatCode="0.0" sourceLinked="1"/>
        <c:majorTickMark val="out"/>
        <c:minorTickMark val="none"/>
        <c:tickLblPos val="nextTo"/>
        <c:crossAx val="1215682592"/>
        <c:crosses val="autoZero"/>
        <c:crossBetween val="between"/>
      </c:valAx>
    </c:plotArea>
    <c:legend>
      <c:legendPos val="t"/>
      <c:overlay val="0"/>
      <c:txPr>
        <a:bodyPr/>
        <a:lstStyle/>
        <a:p>
          <a:pPr>
            <a:defRPr>
              <a:latin typeface="Segoe UI" panose="020B0502040204020203" pitchFamily="34" charset="0"/>
              <a:cs typeface="Segoe UI" panose="020B0502040204020203"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C$56" horiz="1" max="100" page="10" val="15"/>
</file>

<file path=xl/ctrlProps/ctrlProp2.xml><?xml version="1.0" encoding="utf-8"?>
<formControlPr xmlns="http://schemas.microsoft.com/office/spreadsheetml/2009/9/main" objectType="Scroll" dx="16" fmlaLink="$C$58" horiz="1" max="100" page="10" val="50"/>
</file>

<file path=xl/ctrlProps/ctrlProp3.xml><?xml version="1.0" encoding="utf-8"?>
<formControlPr xmlns="http://schemas.microsoft.com/office/spreadsheetml/2009/9/main" objectType="Scroll" dx="16" fmlaLink="$C$59" horiz="1" max="100" page="10" val="50"/>
</file>

<file path=xl/ctrlProps/ctrlProp4.xml><?xml version="1.0" encoding="utf-8"?>
<formControlPr xmlns="http://schemas.microsoft.com/office/spreadsheetml/2009/9/main" objectType="Scroll" dx="16" fmlaLink="$C$57" horiz="1" max="100" page="10" val="50"/>
</file>

<file path=xl/ctrlProps/ctrlProp5.xml><?xml version="1.0" encoding="utf-8"?>
<formControlPr xmlns="http://schemas.microsoft.com/office/spreadsheetml/2009/9/main" objectType="Scroll" dx="16" fmlaLink="$C$55" horiz="1" max="100" page="10" val="5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390525</xdr:colOff>
          <xdr:row>24</xdr:row>
          <xdr:rowOff>9525</xdr:rowOff>
        </xdr:from>
        <xdr:to>
          <xdr:col>11</xdr:col>
          <xdr:colOff>9525</xdr:colOff>
          <xdr:row>25</xdr:row>
          <xdr:rowOff>38100</xdr:rowOff>
        </xdr:to>
        <xdr:sp macro="" textlink="">
          <xdr:nvSpPr>
            <xdr:cNvPr id="1029" name="Scroll Ba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12</xdr:col>
      <xdr:colOff>11906</xdr:colOff>
      <xdr:row>1</xdr:row>
      <xdr:rowOff>23813</xdr:rowOff>
    </xdr:from>
    <xdr:to>
      <xdr:col>16</xdr:col>
      <xdr:colOff>107156</xdr:colOff>
      <xdr:row>25</xdr:row>
      <xdr:rowOff>83343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250031</xdr:colOff>
      <xdr:row>1</xdr:row>
      <xdr:rowOff>41275</xdr:rowOff>
    </xdr:from>
    <xdr:to>
      <xdr:col>19</xdr:col>
      <xdr:colOff>19843</xdr:colOff>
      <xdr:row>25</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47625</xdr:colOff>
          <xdr:row>25</xdr:row>
          <xdr:rowOff>28575</xdr:rowOff>
        </xdr:from>
        <xdr:to>
          <xdr:col>7</xdr:col>
          <xdr:colOff>9525</xdr:colOff>
          <xdr:row>26</xdr:row>
          <xdr:rowOff>76200</xdr:rowOff>
        </xdr:to>
        <xdr:sp macro="" textlink="">
          <xdr:nvSpPr>
            <xdr:cNvPr id="1051" name="Scroll Bar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7</xdr:col>
          <xdr:colOff>9525</xdr:colOff>
          <xdr:row>29</xdr:row>
          <xdr:rowOff>38100</xdr:rowOff>
        </xdr:to>
        <xdr:sp macro="" textlink="">
          <xdr:nvSpPr>
            <xdr:cNvPr id="1103" name="Scroll Bar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7</xdr:col>
          <xdr:colOff>0</xdr:colOff>
          <xdr:row>22</xdr:row>
          <xdr:rowOff>9525</xdr:rowOff>
        </xdr:to>
        <xdr:sp macro="" textlink="">
          <xdr:nvSpPr>
            <xdr:cNvPr id="1162" name="Scroll Bar 138" hidden="1">
              <a:extLst>
                <a:ext uri="{63B3BB69-23CF-44E3-9099-C40C66FF867C}">
                  <a14:compatExt spid="_x0000_s116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209550</xdr:rowOff>
        </xdr:from>
        <xdr:to>
          <xdr:col>11</xdr:col>
          <xdr:colOff>0</xdr:colOff>
          <xdr:row>22</xdr:row>
          <xdr:rowOff>38100</xdr:rowOff>
        </xdr:to>
        <xdr:sp macro="" textlink="">
          <xdr:nvSpPr>
            <xdr:cNvPr id="1163" name="Scroll Bar 139" hidden="1">
              <a:extLst>
                <a:ext uri="{63B3BB69-23CF-44E3-9099-C40C66FF867C}">
                  <a14:compatExt spid="_x0000_s116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oneCellAnchor>
    <xdr:from>
      <xdr:col>8</xdr:col>
      <xdr:colOff>0</xdr:colOff>
      <xdr:row>27</xdr:row>
      <xdr:rowOff>214311</xdr:rowOff>
    </xdr:from>
    <xdr:ext cx="3083718" cy="2345531"/>
    <xdr:sp macro="" textlink="">
      <xdr:nvSpPr>
        <xdr:cNvPr id="9" name="TextBox 8"/>
        <xdr:cNvSpPr txBox="1"/>
      </xdr:nvSpPr>
      <xdr:spPr>
        <a:xfrm>
          <a:off x="7131844" y="5048249"/>
          <a:ext cx="3083718" cy="2345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The financial models and statements contained herein are provided to you for illustrative purposes only, and should not be considered or relied upon as the actual or potential income, sales, profits, or earnings which you will realize, in whole or in part, as a result of deployment of Microsoft products and technologies. Some of the assumptions and figures provided are based on partner interviews and a survey conducted by Market Decisions Corporation of over 1,250 partners between March – May of 2015, which you may find useful in assessing your own numbers. MICROSOFT MAKES NO WARRANTIES, EXPRESS, IMPLIED OR STATUTORY, AS TO THE INFORMATION IN THIS DOCUMENT.</a:t>
          </a:r>
          <a:endParaRPr lang="en-CA" sz="1000">
            <a:effectLst/>
          </a:endParaRPr>
        </a:p>
        <a:p>
          <a:endParaRPr lang="en-CA"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1256392</xdr:colOff>
      <xdr:row>0</xdr:row>
      <xdr:rowOff>143328</xdr:rowOff>
    </xdr:from>
    <xdr:to>
      <xdr:col>22</xdr:col>
      <xdr:colOff>108857</xdr:colOff>
      <xdr:row>28</xdr:row>
      <xdr:rowOff>199572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50800</xdr:colOff>
      <xdr:row>1</xdr:row>
      <xdr:rowOff>59417</xdr:rowOff>
    </xdr:from>
    <xdr:to>
      <xdr:col>23</xdr:col>
      <xdr:colOff>444047</xdr:colOff>
      <xdr:row>30</xdr:row>
      <xdr:rowOff>96156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611981</xdr:colOff>
      <xdr:row>0</xdr:row>
      <xdr:rowOff>199232</xdr:rowOff>
    </xdr:from>
    <xdr:to>
      <xdr:col>16</xdr:col>
      <xdr:colOff>202405</xdr:colOff>
      <xdr:row>25</xdr:row>
      <xdr:rowOff>123032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1"/>
  <sheetViews>
    <sheetView showGridLines="0" tabSelected="1" zoomScale="70" zoomScaleNormal="70" workbookViewId="0">
      <pane xSplit="3" ySplit="3" topLeftCell="D39" activePane="bottomRight" state="frozen"/>
      <selection pane="topRight" activeCell="D1" sqref="D1"/>
      <selection pane="bottomLeft" activeCell="A4" sqref="A4"/>
      <selection pane="bottomRight" sqref="A1:XFD1048576"/>
    </sheetView>
  </sheetViews>
  <sheetFormatPr defaultColWidth="8.75" defaultRowHeight="16.5" x14ac:dyDescent="0.3"/>
  <cols>
    <col min="1" max="1" width="4.125" style="76" customWidth="1"/>
    <col min="2" max="2" width="3.25" style="75" customWidth="1"/>
    <col min="3" max="3" width="46.125" style="76" customWidth="1"/>
    <col min="4" max="16" width="12.625" style="76" customWidth="1"/>
    <col min="17" max="19" width="14" style="76" customWidth="1"/>
    <col min="20" max="33" width="12.625" style="76" customWidth="1"/>
    <col min="34" max="16384" width="8.75" style="76"/>
  </cols>
  <sheetData>
    <row r="1" spans="2:32" ht="4.5" customHeight="1" x14ac:dyDescent="0.3"/>
    <row r="2" spans="2:32" ht="30" customHeight="1" x14ac:dyDescent="0.3">
      <c r="E2" s="300" t="s">
        <v>115</v>
      </c>
      <c r="F2" s="301"/>
      <c r="G2" s="301"/>
      <c r="H2" s="301"/>
      <c r="I2" s="301"/>
      <c r="J2" s="301"/>
      <c r="K2" s="301"/>
      <c r="L2" s="301"/>
      <c r="M2" s="301"/>
      <c r="N2" s="302"/>
      <c r="O2" s="303" t="s">
        <v>454</v>
      </c>
      <c r="P2" s="304"/>
      <c r="Q2" s="305"/>
      <c r="R2" s="312" t="s">
        <v>257</v>
      </c>
      <c r="S2" s="313"/>
      <c r="T2" s="314"/>
      <c r="U2" s="306" t="s">
        <v>403</v>
      </c>
      <c r="V2" s="307"/>
      <c r="W2" s="307"/>
    </row>
    <row r="3" spans="2:32" s="251" customFormat="1" ht="78" customHeight="1" x14ac:dyDescent="0.25">
      <c r="D3" s="252" t="s">
        <v>258</v>
      </c>
      <c r="E3" s="261" t="s">
        <v>363</v>
      </c>
      <c r="F3" s="261" t="s">
        <v>364</v>
      </c>
      <c r="G3" s="261" t="s">
        <v>259</v>
      </c>
      <c r="H3" s="261" t="s">
        <v>260</v>
      </c>
      <c r="I3" s="261" t="s">
        <v>261</v>
      </c>
      <c r="J3" s="261" t="s">
        <v>262</v>
      </c>
      <c r="K3" s="261" t="s">
        <v>365</v>
      </c>
      <c r="L3" s="261" t="s">
        <v>263</v>
      </c>
      <c r="M3" s="261" t="s">
        <v>366</v>
      </c>
      <c r="N3" s="261" t="s">
        <v>387</v>
      </c>
      <c r="O3" s="261" t="s">
        <v>388</v>
      </c>
      <c r="P3" s="261" t="s">
        <v>452</v>
      </c>
      <c r="Q3" s="261" t="s">
        <v>415</v>
      </c>
      <c r="R3" s="261" t="s">
        <v>413</v>
      </c>
      <c r="S3" s="261" t="s">
        <v>414</v>
      </c>
      <c r="T3" s="261" t="s">
        <v>404</v>
      </c>
      <c r="U3" s="261" t="s">
        <v>405</v>
      </c>
      <c r="V3" s="261" t="s">
        <v>406</v>
      </c>
      <c r="W3" s="253"/>
      <c r="X3" s="253"/>
      <c r="Y3" s="253"/>
      <c r="Z3" s="253"/>
      <c r="AA3" s="253"/>
      <c r="AB3" s="253"/>
      <c r="AC3" s="253"/>
      <c r="AD3" s="253"/>
      <c r="AE3" s="253"/>
      <c r="AF3" s="253"/>
    </row>
    <row r="4" spans="2:32" ht="16.5" customHeight="1" x14ac:dyDescent="0.3">
      <c r="B4" s="75" t="s">
        <v>264</v>
      </c>
      <c r="D4" s="308" t="s">
        <v>367</v>
      </c>
      <c r="E4" s="308" t="s">
        <v>368</v>
      </c>
      <c r="F4" s="308" t="s">
        <v>369</v>
      </c>
      <c r="G4" s="308" t="s">
        <v>367</v>
      </c>
      <c r="H4" s="308" t="s">
        <v>368</v>
      </c>
      <c r="I4" s="308" t="s">
        <v>370</v>
      </c>
      <c r="J4" s="308" t="s">
        <v>371</v>
      </c>
      <c r="K4" s="308" t="s">
        <v>372</v>
      </c>
      <c r="L4" s="308" t="s">
        <v>369</v>
      </c>
      <c r="M4" s="308" t="s">
        <v>371</v>
      </c>
      <c r="N4" s="308" t="s">
        <v>389</v>
      </c>
      <c r="O4" s="308" t="s">
        <v>367</v>
      </c>
      <c r="P4" s="308" t="s">
        <v>370</v>
      </c>
      <c r="Q4" s="308" t="s">
        <v>416</v>
      </c>
      <c r="R4" s="308" t="s">
        <v>417</v>
      </c>
      <c r="S4" s="308" t="s">
        <v>418</v>
      </c>
      <c r="T4" s="308" t="s">
        <v>370</v>
      </c>
      <c r="U4" s="308" t="s">
        <v>370</v>
      </c>
      <c r="V4" s="308" t="s">
        <v>407</v>
      </c>
    </row>
    <row r="5" spans="2:32" s="269" customFormat="1" x14ac:dyDescent="0.3">
      <c r="B5" s="268"/>
      <c r="C5" s="269" t="s">
        <v>374</v>
      </c>
      <c r="D5" s="309"/>
      <c r="E5" s="309"/>
      <c r="F5" s="309"/>
      <c r="G5" s="309"/>
      <c r="H5" s="309"/>
      <c r="I5" s="309"/>
      <c r="J5" s="309"/>
      <c r="K5" s="309"/>
      <c r="L5" s="309"/>
      <c r="M5" s="309"/>
      <c r="N5" s="309"/>
      <c r="O5" s="309"/>
      <c r="P5" s="309"/>
      <c r="Q5" s="309"/>
      <c r="R5" s="309"/>
      <c r="S5" s="309"/>
      <c r="T5" s="309"/>
      <c r="U5" s="309"/>
      <c r="V5" s="309"/>
    </row>
    <row r="6" spans="2:32" x14ac:dyDescent="0.3">
      <c r="C6" s="77" t="s">
        <v>167</v>
      </c>
      <c r="D6" s="255"/>
      <c r="E6" s="255"/>
      <c r="F6" s="255"/>
      <c r="G6" s="255"/>
      <c r="H6" s="255"/>
      <c r="I6" s="255"/>
      <c r="J6" s="255"/>
      <c r="K6" s="255"/>
      <c r="L6" s="255"/>
      <c r="M6" s="262"/>
      <c r="N6" s="255"/>
      <c r="O6" s="255"/>
      <c r="P6" s="255"/>
      <c r="Q6" s="255"/>
      <c r="R6" s="255"/>
      <c r="S6" s="255"/>
      <c r="T6" s="255"/>
      <c r="U6" s="255"/>
      <c r="V6" s="255"/>
    </row>
    <row r="7" spans="2:32" x14ac:dyDescent="0.3">
      <c r="C7" s="77" t="s">
        <v>174</v>
      </c>
      <c r="D7" s="255"/>
      <c r="E7" s="255"/>
      <c r="F7" s="255"/>
      <c r="G7" s="255"/>
      <c r="H7" s="255"/>
      <c r="I7" s="255"/>
      <c r="J7" s="255"/>
      <c r="K7" s="255"/>
      <c r="L7" s="255"/>
      <c r="M7" s="255"/>
      <c r="N7" s="255"/>
      <c r="O7" s="255"/>
      <c r="P7" s="255"/>
      <c r="Q7" s="255"/>
      <c r="R7" s="255"/>
      <c r="S7" s="255"/>
      <c r="T7" s="255"/>
      <c r="U7" s="255"/>
      <c r="V7" s="255"/>
    </row>
    <row r="8" spans="2:32" x14ac:dyDescent="0.3">
      <c r="C8" s="77" t="s">
        <v>166</v>
      </c>
      <c r="D8" s="262"/>
      <c r="E8" s="254"/>
      <c r="F8" s="254"/>
      <c r="G8" s="262"/>
      <c r="H8" s="262"/>
      <c r="I8" s="262"/>
      <c r="J8" s="262"/>
      <c r="K8" s="262"/>
      <c r="L8" s="262"/>
      <c r="M8" s="262"/>
      <c r="N8" s="255"/>
      <c r="O8" s="255"/>
      <c r="P8" s="262"/>
      <c r="Q8" s="255"/>
      <c r="R8" s="255"/>
      <c r="S8" s="255"/>
      <c r="T8" s="254"/>
      <c r="U8" s="254"/>
      <c r="V8" s="254"/>
    </row>
    <row r="9" spans="2:32" x14ac:dyDescent="0.3">
      <c r="C9" s="77" t="s">
        <v>265</v>
      </c>
      <c r="D9" s="255"/>
      <c r="E9" s="254"/>
      <c r="F9" s="254"/>
      <c r="G9" s="262"/>
      <c r="H9" s="262"/>
      <c r="I9" s="262"/>
      <c r="J9" s="262"/>
      <c r="K9" s="262"/>
      <c r="L9" s="262"/>
      <c r="M9" s="262"/>
      <c r="N9" s="262"/>
      <c r="O9" s="255"/>
      <c r="P9" s="262"/>
      <c r="Q9" s="255"/>
      <c r="R9" s="255"/>
      <c r="S9" s="255"/>
      <c r="T9" s="254"/>
      <c r="U9" s="254"/>
      <c r="V9" s="254"/>
    </row>
    <row r="10" spans="2:32" x14ac:dyDescent="0.3">
      <c r="C10" s="77" t="s">
        <v>266</v>
      </c>
      <c r="D10" s="262"/>
      <c r="E10" s="254"/>
      <c r="F10" s="254"/>
      <c r="G10" s="262"/>
      <c r="H10" s="262"/>
      <c r="I10" s="262"/>
      <c r="J10" s="262"/>
      <c r="K10" s="262"/>
      <c r="L10" s="262"/>
      <c r="M10" s="262"/>
      <c r="N10" s="255"/>
      <c r="O10" s="262"/>
      <c r="P10" s="262"/>
      <c r="Q10" s="255"/>
      <c r="R10" s="254"/>
      <c r="S10" s="254"/>
      <c r="T10" s="254"/>
      <c r="U10" s="254"/>
      <c r="V10" s="254"/>
    </row>
    <row r="11" spans="2:32" x14ac:dyDescent="0.3">
      <c r="C11" s="77" t="s">
        <v>267</v>
      </c>
      <c r="D11" s="278"/>
      <c r="E11" s="280"/>
      <c r="F11" s="280"/>
      <c r="G11" s="278"/>
      <c r="H11" s="279"/>
      <c r="I11" s="278"/>
      <c r="J11" s="278"/>
      <c r="K11" s="279"/>
      <c r="L11" s="281"/>
      <c r="M11" s="280"/>
      <c r="N11" s="255"/>
      <c r="O11" s="262"/>
      <c r="P11" s="262"/>
      <c r="Q11" s="255"/>
      <c r="R11" s="254"/>
      <c r="S11" s="254"/>
      <c r="T11" s="254"/>
      <c r="U11" s="254"/>
      <c r="V11" s="254"/>
    </row>
    <row r="12" spans="2:32" x14ac:dyDescent="0.3">
      <c r="C12" s="77" t="s">
        <v>268</v>
      </c>
      <c r="D12" s="283"/>
      <c r="E12" s="284"/>
      <c r="F12" s="285"/>
      <c r="G12" s="284"/>
      <c r="H12" s="283"/>
      <c r="I12" s="283"/>
      <c r="J12" s="283"/>
      <c r="K12" s="284"/>
      <c r="L12" s="286"/>
      <c r="M12" s="283"/>
      <c r="N12" s="262"/>
      <c r="O12" s="262"/>
      <c r="P12" s="262"/>
      <c r="Q12" s="255"/>
      <c r="R12" s="254"/>
      <c r="S12" s="254"/>
      <c r="T12" s="254"/>
      <c r="U12" s="262"/>
      <c r="V12" s="262"/>
    </row>
    <row r="13" spans="2:32" x14ac:dyDescent="0.3">
      <c r="C13" s="77" t="s">
        <v>269</v>
      </c>
      <c r="D13" s="283"/>
      <c r="E13" s="284"/>
      <c r="F13" s="285"/>
      <c r="G13" s="283"/>
      <c r="H13" s="283"/>
      <c r="I13" s="283"/>
      <c r="J13" s="283"/>
      <c r="K13" s="284"/>
      <c r="L13" s="286"/>
      <c r="M13" s="283"/>
      <c r="N13" s="262"/>
      <c r="O13" s="262"/>
      <c r="P13" s="262"/>
      <c r="Q13" s="254"/>
      <c r="R13" s="254"/>
      <c r="S13" s="254"/>
      <c r="T13" s="254"/>
      <c r="U13" s="254"/>
      <c r="V13" s="254"/>
    </row>
    <row r="14" spans="2:32" x14ac:dyDescent="0.3">
      <c r="C14" s="77" t="s">
        <v>270</v>
      </c>
      <c r="D14" s="283"/>
      <c r="E14" s="283"/>
      <c r="F14" s="285"/>
      <c r="G14" s="283"/>
      <c r="H14" s="283"/>
      <c r="I14" s="283"/>
      <c r="J14" s="283"/>
      <c r="K14" s="284"/>
      <c r="L14" s="286"/>
      <c r="M14" s="283"/>
      <c r="N14" s="262"/>
      <c r="O14" s="262"/>
      <c r="P14" s="262"/>
      <c r="Q14" s="254"/>
      <c r="R14" s="254"/>
      <c r="S14" s="254"/>
      <c r="T14" s="254"/>
      <c r="U14" s="254"/>
      <c r="V14" s="254"/>
    </row>
    <row r="15" spans="2:32" x14ac:dyDescent="0.3">
      <c r="C15" s="77" t="s">
        <v>271</v>
      </c>
      <c r="D15" s="283"/>
      <c r="E15" s="283"/>
      <c r="F15" s="285"/>
      <c r="G15" s="284"/>
      <c r="H15" s="283"/>
      <c r="I15" s="283"/>
      <c r="J15" s="283"/>
      <c r="K15" s="284"/>
      <c r="L15" s="286"/>
      <c r="M15" s="283"/>
      <c r="N15" s="262"/>
      <c r="O15" s="262"/>
      <c r="P15" s="262"/>
      <c r="Q15" s="254"/>
      <c r="R15" s="254"/>
      <c r="S15" s="254"/>
      <c r="T15" s="254"/>
      <c r="U15" s="254"/>
      <c r="V15" s="254"/>
    </row>
    <row r="16" spans="2:32" x14ac:dyDescent="0.3">
      <c r="C16" s="77" t="s">
        <v>272</v>
      </c>
      <c r="D16" s="283"/>
      <c r="E16" s="283"/>
      <c r="F16" s="285"/>
      <c r="G16" s="283"/>
      <c r="H16" s="283"/>
      <c r="I16" s="283"/>
      <c r="J16" s="283"/>
      <c r="K16" s="283"/>
      <c r="L16" s="286"/>
      <c r="M16" s="283"/>
      <c r="N16" s="262"/>
      <c r="O16" s="255"/>
      <c r="P16" s="262"/>
      <c r="Q16" s="255"/>
      <c r="R16" s="255"/>
      <c r="S16" s="255"/>
      <c r="T16" s="254"/>
      <c r="U16" s="254"/>
      <c r="V16" s="254"/>
    </row>
    <row r="17" spans="2:22" x14ac:dyDescent="0.3">
      <c r="C17" s="77" t="s">
        <v>208</v>
      </c>
      <c r="D17" s="283"/>
      <c r="E17" s="285"/>
      <c r="F17" s="284"/>
      <c r="G17" s="283"/>
      <c r="H17" s="283"/>
      <c r="I17" s="283"/>
      <c r="J17" s="283"/>
      <c r="K17" s="283"/>
      <c r="L17" s="286"/>
      <c r="M17" s="283"/>
      <c r="N17" s="255"/>
      <c r="O17" s="255"/>
      <c r="P17" s="262"/>
      <c r="Q17" s="254"/>
      <c r="R17" s="254"/>
      <c r="S17" s="254"/>
      <c r="T17" s="254"/>
      <c r="U17" s="254"/>
      <c r="V17" s="254"/>
    </row>
    <row r="18" spans="2:22" x14ac:dyDescent="0.3">
      <c r="C18" s="77" t="s">
        <v>209</v>
      </c>
      <c r="D18" s="283"/>
      <c r="E18" s="285"/>
      <c r="F18" s="283"/>
      <c r="G18" s="283"/>
      <c r="H18" s="283"/>
      <c r="I18" s="283"/>
      <c r="J18" s="283"/>
      <c r="K18" s="283"/>
      <c r="L18" s="286"/>
      <c r="M18" s="283"/>
      <c r="N18" s="255"/>
      <c r="O18" s="255"/>
      <c r="P18" s="262"/>
      <c r="Q18" s="254"/>
      <c r="R18" s="254"/>
      <c r="S18" s="254"/>
      <c r="T18" s="254"/>
      <c r="U18" s="254"/>
      <c r="V18" s="254"/>
    </row>
    <row r="19" spans="2:22" x14ac:dyDescent="0.3">
      <c r="C19" s="77" t="s">
        <v>273</v>
      </c>
      <c r="D19" s="283"/>
      <c r="E19" s="285"/>
      <c r="F19" s="285"/>
      <c r="G19" s="283"/>
      <c r="H19" s="283"/>
      <c r="I19" s="283"/>
      <c r="J19" s="284"/>
      <c r="K19" s="283"/>
      <c r="L19" s="283"/>
      <c r="M19" s="283"/>
      <c r="N19" s="255"/>
      <c r="O19" s="255"/>
      <c r="P19" s="262"/>
      <c r="Q19" s="255"/>
      <c r="R19" s="255"/>
      <c r="S19" s="255"/>
      <c r="T19" s="254"/>
      <c r="U19" s="254"/>
      <c r="V19" s="254"/>
    </row>
    <row r="20" spans="2:22" x14ac:dyDescent="0.3">
      <c r="C20" s="77" t="s">
        <v>274</v>
      </c>
      <c r="D20" s="285"/>
      <c r="E20" s="284"/>
      <c r="F20" s="285"/>
      <c r="G20" s="283"/>
      <c r="H20" s="283"/>
      <c r="I20" s="283"/>
      <c r="J20" s="283"/>
      <c r="K20" s="283"/>
      <c r="L20" s="286"/>
      <c r="M20" s="283"/>
      <c r="N20" s="262"/>
      <c r="O20" s="262"/>
      <c r="P20" s="262"/>
      <c r="Q20" s="254"/>
      <c r="R20" s="254"/>
      <c r="S20" s="254"/>
      <c r="T20" s="254"/>
      <c r="U20" s="254"/>
      <c r="V20" s="254"/>
    </row>
    <row r="21" spans="2:22" x14ac:dyDescent="0.3">
      <c r="C21" s="77" t="s">
        <v>210</v>
      </c>
      <c r="D21" s="284"/>
      <c r="E21" s="284"/>
      <c r="F21" s="284"/>
      <c r="G21" s="284"/>
      <c r="H21" s="283"/>
      <c r="I21" s="284"/>
      <c r="J21" s="284"/>
      <c r="K21" s="283"/>
      <c r="L21" s="286"/>
      <c r="M21" s="284"/>
      <c r="N21" s="255"/>
      <c r="O21" s="262"/>
      <c r="P21" s="262"/>
      <c r="Q21" s="254"/>
      <c r="R21" s="254"/>
      <c r="S21" s="254"/>
      <c r="T21" s="254"/>
      <c r="U21" s="254"/>
      <c r="V21" s="254"/>
    </row>
    <row r="22" spans="2:22" x14ac:dyDescent="0.3">
      <c r="C22" s="77" t="s">
        <v>275</v>
      </c>
      <c r="D22" s="285"/>
      <c r="E22" s="285"/>
      <c r="F22" s="285"/>
      <c r="G22" s="284"/>
      <c r="H22" s="283"/>
      <c r="I22" s="284"/>
      <c r="J22" s="284"/>
      <c r="K22" s="283"/>
      <c r="L22" s="284"/>
      <c r="M22" s="283"/>
      <c r="N22" s="262"/>
      <c r="O22" s="262"/>
      <c r="P22" s="262"/>
      <c r="Q22" s="254"/>
      <c r="R22" s="254"/>
      <c r="S22" s="254"/>
      <c r="T22" s="254"/>
      <c r="U22" s="254"/>
      <c r="V22" s="254"/>
    </row>
    <row r="23" spans="2:22" x14ac:dyDescent="0.3">
      <c r="C23" s="77" t="s">
        <v>211</v>
      </c>
      <c r="D23" s="284"/>
      <c r="E23" s="285"/>
      <c r="F23" s="285"/>
      <c r="G23" s="283"/>
      <c r="H23" s="284"/>
      <c r="I23" s="282"/>
      <c r="J23" s="283"/>
      <c r="K23" s="283"/>
      <c r="L23" s="286"/>
      <c r="M23" s="283"/>
      <c r="N23" s="255"/>
      <c r="O23" s="262"/>
      <c r="P23" s="262"/>
      <c r="Q23" s="254"/>
      <c r="R23" s="254"/>
      <c r="S23" s="254"/>
      <c r="T23" s="254"/>
      <c r="U23" s="254"/>
      <c r="V23" s="254"/>
    </row>
    <row r="24" spans="2:22" x14ac:dyDescent="0.3">
      <c r="C24" s="77" t="s">
        <v>400</v>
      </c>
      <c r="D24" s="284"/>
      <c r="E24" s="285"/>
      <c r="F24" s="285"/>
      <c r="G24" s="283"/>
      <c r="H24" s="284"/>
      <c r="I24" s="283"/>
      <c r="J24" s="283"/>
      <c r="K24" s="283"/>
      <c r="L24" s="284"/>
      <c r="M24" s="283"/>
      <c r="N24" s="255"/>
      <c r="O24" s="262"/>
      <c r="P24" s="262"/>
      <c r="Q24" s="254"/>
      <c r="R24" s="254"/>
      <c r="S24" s="254"/>
      <c r="T24" s="254"/>
      <c r="U24" s="254"/>
      <c r="V24" s="254"/>
    </row>
    <row r="25" spans="2:22" x14ac:dyDescent="0.3">
      <c r="C25" s="77" t="s">
        <v>276</v>
      </c>
      <c r="D25" s="285"/>
      <c r="E25" s="285"/>
      <c r="F25" s="285"/>
      <c r="G25" s="283"/>
      <c r="H25" s="283"/>
      <c r="I25" s="283"/>
      <c r="J25" s="283"/>
      <c r="K25" s="283"/>
      <c r="L25" s="286"/>
      <c r="M25" s="283"/>
      <c r="N25" s="262"/>
      <c r="O25" s="262"/>
      <c r="P25" s="262"/>
      <c r="Q25" s="255"/>
      <c r="R25" s="255"/>
      <c r="S25" s="255"/>
      <c r="T25" s="254"/>
      <c r="U25" s="254"/>
      <c r="V25" s="254"/>
    </row>
    <row r="26" spans="2:22" ht="16.5" customHeight="1" x14ac:dyDescent="0.3">
      <c r="C26" s="77" t="s">
        <v>173</v>
      </c>
      <c r="D26" s="284"/>
      <c r="E26" s="284"/>
      <c r="F26" s="285"/>
      <c r="G26" s="284"/>
      <c r="H26" s="284"/>
      <c r="I26" s="284"/>
      <c r="J26" s="284"/>
      <c r="K26" s="284"/>
      <c r="L26" s="284"/>
      <c r="M26" s="283"/>
      <c r="N26" s="262"/>
      <c r="O26" s="255"/>
      <c r="P26" s="262"/>
      <c r="Q26" s="255"/>
      <c r="R26" s="255"/>
      <c r="S26" s="255"/>
      <c r="T26" s="262"/>
      <c r="U26" s="254"/>
      <c r="V26" s="262"/>
    </row>
    <row r="27" spans="2:22" s="77" customFormat="1" ht="16.5" customHeight="1" x14ac:dyDescent="0.3">
      <c r="B27" s="78"/>
      <c r="C27" s="77" t="s">
        <v>408</v>
      </c>
      <c r="D27" s="275"/>
      <c r="E27" s="275"/>
      <c r="F27" s="275"/>
      <c r="G27" s="275"/>
      <c r="H27" s="275"/>
      <c r="I27" s="275"/>
      <c r="J27" s="275"/>
      <c r="K27" s="275"/>
      <c r="L27" s="275"/>
      <c r="M27" s="275"/>
      <c r="N27" s="275"/>
      <c r="O27" s="275"/>
      <c r="P27" s="275"/>
      <c r="Q27" s="273"/>
      <c r="R27" s="273"/>
      <c r="S27" s="273"/>
      <c r="T27" s="275"/>
      <c r="U27" s="275"/>
      <c r="V27" s="255"/>
    </row>
    <row r="28" spans="2:22" s="77" customFormat="1" ht="16.5" customHeight="1" x14ac:dyDescent="0.3">
      <c r="B28" s="78"/>
      <c r="C28" s="77" t="s">
        <v>409</v>
      </c>
      <c r="D28" s="275"/>
      <c r="E28" s="275"/>
      <c r="F28" s="275"/>
      <c r="G28" s="275"/>
      <c r="H28" s="275"/>
      <c r="I28" s="275"/>
      <c r="J28" s="275"/>
      <c r="K28" s="275"/>
      <c r="L28" s="275"/>
      <c r="M28" s="275"/>
      <c r="N28" s="275"/>
      <c r="O28" s="275"/>
      <c r="P28" s="275"/>
      <c r="Q28" s="273"/>
      <c r="R28" s="273"/>
      <c r="S28" s="273"/>
      <c r="T28" s="275"/>
      <c r="U28" s="275"/>
      <c r="V28" s="273"/>
    </row>
    <row r="29" spans="2:22" s="77" customFormat="1" ht="16.5" customHeight="1" x14ac:dyDescent="0.3">
      <c r="B29" s="78"/>
      <c r="C29" s="77" t="s">
        <v>419</v>
      </c>
      <c r="D29" s="275"/>
      <c r="E29" s="275"/>
      <c r="F29" s="275"/>
      <c r="G29" s="275"/>
      <c r="H29" s="275"/>
      <c r="I29" s="275"/>
      <c r="J29" s="275"/>
      <c r="K29" s="275"/>
      <c r="L29" s="275"/>
      <c r="M29" s="275"/>
      <c r="N29" s="275"/>
      <c r="O29" s="275"/>
      <c r="P29" s="275"/>
      <c r="Q29" s="273"/>
      <c r="R29" s="273"/>
      <c r="S29" s="273"/>
      <c r="T29" s="275"/>
      <c r="U29" s="275"/>
      <c r="V29" s="273"/>
    </row>
    <row r="30" spans="2:22" s="77" customFormat="1" ht="16.5" customHeight="1" x14ac:dyDescent="0.3">
      <c r="B30" s="78"/>
      <c r="C30" s="77" t="s">
        <v>420</v>
      </c>
      <c r="D30" s="275"/>
      <c r="E30" s="275"/>
      <c r="F30" s="275"/>
      <c r="G30" s="275"/>
      <c r="H30" s="275"/>
      <c r="I30" s="275"/>
      <c r="J30" s="275"/>
      <c r="K30" s="275"/>
      <c r="L30" s="275"/>
      <c r="M30" s="275"/>
      <c r="N30" s="275"/>
      <c r="O30" s="275"/>
      <c r="P30" s="275"/>
      <c r="Q30" s="273"/>
      <c r="R30" s="273"/>
      <c r="S30" s="273"/>
      <c r="T30" s="275"/>
      <c r="U30" s="275"/>
      <c r="V30" s="273"/>
    </row>
    <row r="31" spans="2:22" s="77" customFormat="1" ht="16.5" customHeight="1" x14ac:dyDescent="0.3">
      <c r="B31" s="78"/>
      <c r="C31" s="77" t="s">
        <v>421</v>
      </c>
      <c r="D31" s="292"/>
      <c r="E31" s="296"/>
      <c r="F31" s="292"/>
      <c r="G31" s="297"/>
      <c r="H31" s="296"/>
      <c r="I31" s="297"/>
      <c r="J31" s="296"/>
      <c r="K31" s="296"/>
      <c r="L31" s="292"/>
      <c r="M31" s="297"/>
      <c r="N31" s="275"/>
      <c r="O31" s="275"/>
      <c r="P31" s="275"/>
      <c r="Q31" s="273"/>
      <c r="R31" s="273"/>
      <c r="S31" s="273"/>
      <c r="T31" s="273"/>
      <c r="U31" s="273"/>
      <c r="V31" s="273"/>
    </row>
    <row r="32" spans="2:22" s="77" customFormat="1" ht="16.5" customHeight="1" x14ac:dyDescent="0.3">
      <c r="B32" s="78"/>
      <c r="C32" s="77" t="s">
        <v>422</v>
      </c>
      <c r="D32" s="292"/>
      <c r="E32" s="296"/>
      <c r="F32" s="292"/>
      <c r="G32" s="297"/>
      <c r="H32" s="296"/>
      <c r="I32" s="297"/>
      <c r="J32" s="296"/>
      <c r="K32" s="296"/>
      <c r="L32" s="297"/>
      <c r="M32" s="297"/>
      <c r="N32" s="275"/>
      <c r="O32" s="275"/>
      <c r="P32" s="275"/>
      <c r="Q32" s="273"/>
      <c r="R32" s="273"/>
      <c r="S32" s="273"/>
      <c r="T32" s="275"/>
      <c r="U32" s="275"/>
      <c r="V32" s="273"/>
    </row>
    <row r="33" spans="2:22" s="289" customFormat="1" ht="16.5" customHeight="1" x14ac:dyDescent="0.3">
      <c r="B33" s="290"/>
      <c r="C33" s="289" t="s">
        <v>443</v>
      </c>
      <c r="D33" s="298"/>
      <c r="E33" s="298"/>
      <c r="F33" s="298"/>
      <c r="G33" s="298"/>
      <c r="H33" s="298"/>
      <c r="I33" s="297"/>
      <c r="J33" s="298"/>
      <c r="K33" s="298"/>
      <c r="L33" s="298"/>
      <c r="M33" s="298"/>
      <c r="N33" s="298"/>
      <c r="O33" s="298"/>
      <c r="P33" s="298"/>
      <c r="Q33" s="297"/>
      <c r="R33" s="297"/>
      <c r="S33" s="297"/>
      <c r="T33" s="298"/>
      <c r="U33" s="298"/>
      <c r="V33" s="297"/>
    </row>
    <row r="34" spans="2:22" s="77" customFormat="1" ht="16.5" customHeight="1" x14ac:dyDescent="0.3">
      <c r="B34" s="78"/>
      <c r="C34" s="77" t="s">
        <v>423</v>
      </c>
      <c r="D34" s="275"/>
      <c r="E34" s="275"/>
      <c r="F34" s="275"/>
      <c r="G34" s="275"/>
      <c r="H34" s="275"/>
      <c r="I34" s="275"/>
      <c r="J34" s="275"/>
      <c r="K34" s="275"/>
      <c r="L34" s="275"/>
      <c r="M34" s="275"/>
      <c r="N34" s="275"/>
      <c r="O34" s="275"/>
      <c r="P34" s="275"/>
      <c r="Q34" s="273"/>
      <c r="R34" s="273"/>
      <c r="S34" s="273"/>
      <c r="T34" s="275"/>
      <c r="U34" s="275"/>
      <c r="V34" s="273"/>
    </row>
    <row r="35" spans="2:22" s="77" customFormat="1" ht="16.5" customHeight="1" x14ac:dyDescent="0.3">
      <c r="B35" s="78"/>
      <c r="C35" s="77" t="s">
        <v>424</v>
      </c>
      <c r="D35" s="275"/>
      <c r="E35" s="275"/>
      <c r="F35" s="275"/>
      <c r="G35" s="275"/>
      <c r="H35" s="275"/>
      <c r="I35" s="275"/>
      <c r="J35" s="275"/>
      <c r="K35" s="275"/>
      <c r="L35" s="275"/>
      <c r="M35" s="275"/>
      <c r="N35" s="275"/>
      <c r="O35" s="275"/>
      <c r="P35" s="275"/>
      <c r="Q35" s="273"/>
      <c r="R35" s="273"/>
      <c r="S35" s="273"/>
      <c r="T35" s="275"/>
      <c r="U35" s="275"/>
      <c r="V35" s="273"/>
    </row>
    <row r="36" spans="2:22" s="77" customFormat="1" ht="16.5" customHeight="1" x14ac:dyDescent="0.3">
      <c r="B36" s="78"/>
      <c r="C36" s="77" t="s">
        <v>425</v>
      </c>
      <c r="D36" s="275"/>
      <c r="E36" s="275"/>
      <c r="F36" s="275"/>
      <c r="G36" s="275"/>
      <c r="H36" s="275"/>
      <c r="I36" s="275"/>
      <c r="J36" s="275"/>
      <c r="K36" s="275"/>
      <c r="L36" s="275"/>
      <c r="M36" s="275"/>
      <c r="N36" s="275"/>
      <c r="O36" s="275"/>
      <c r="P36" s="275"/>
      <c r="Q36" s="273"/>
      <c r="R36" s="273"/>
      <c r="S36" s="273"/>
      <c r="T36" s="275"/>
      <c r="U36" s="275"/>
      <c r="V36" s="273"/>
    </row>
    <row r="37" spans="2:22" s="77" customFormat="1" ht="16.5" customHeight="1" x14ac:dyDescent="0.3">
      <c r="B37" s="78"/>
      <c r="C37" s="77" t="s">
        <v>426</v>
      </c>
      <c r="D37" s="275"/>
      <c r="E37" s="275"/>
      <c r="F37" s="275"/>
      <c r="G37" s="275"/>
      <c r="H37" s="275"/>
      <c r="I37" s="275"/>
      <c r="J37" s="275"/>
      <c r="K37" s="275"/>
      <c r="L37" s="275"/>
      <c r="M37" s="275"/>
      <c r="N37" s="275"/>
      <c r="O37" s="275"/>
      <c r="P37" s="275"/>
      <c r="Q37" s="273"/>
      <c r="R37" s="273"/>
      <c r="S37" s="273"/>
      <c r="T37" s="275"/>
      <c r="U37" s="275"/>
      <c r="V37" s="273"/>
    </row>
    <row r="38" spans="2:22" s="77" customFormat="1" ht="16.5" customHeight="1" x14ac:dyDescent="0.3">
      <c r="B38" s="78"/>
      <c r="C38" s="77" t="s">
        <v>427</v>
      </c>
      <c r="D38" s="275"/>
      <c r="E38" s="275"/>
      <c r="F38" s="275"/>
      <c r="G38" s="275"/>
      <c r="H38" s="275"/>
      <c r="I38" s="275"/>
      <c r="J38" s="275"/>
      <c r="K38" s="275"/>
      <c r="L38" s="275"/>
      <c r="M38" s="275"/>
      <c r="N38" s="275"/>
      <c r="O38" s="275"/>
      <c r="P38" s="275"/>
      <c r="Q38" s="273"/>
      <c r="R38" s="273"/>
      <c r="S38" s="273"/>
      <c r="T38" s="275"/>
      <c r="U38" s="275"/>
      <c r="V38" s="273"/>
    </row>
    <row r="39" spans="2:22" s="77" customFormat="1" ht="16.5" customHeight="1" x14ac:dyDescent="0.3">
      <c r="B39" s="78"/>
      <c r="C39" s="77" t="s">
        <v>428</v>
      </c>
      <c r="D39" s="275"/>
      <c r="E39" s="275"/>
      <c r="F39" s="275"/>
      <c r="G39" s="275"/>
      <c r="H39" s="275"/>
      <c r="I39" s="275"/>
      <c r="J39" s="275"/>
      <c r="K39" s="275"/>
      <c r="L39" s="275"/>
      <c r="M39" s="275"/>
      <c r="N39" s="275"/>
      <c r="O39" s="275"/>
      <c r="P39" s="275"/>
      <c r="Q39" s="273"/>
      <c r="R39" s="273"/>
      <c r="S39" s="273"/>
      <c r="T39" s="275"/>
      <c r="U39" s="275"/>
      <c r="V39" s="273"/>
    </row>
    <row r="40" spans="2:22" s="77" customFormat="1" ht="16.5" customHeight="1" x14ac:dyDescent="0.3">
      <c r="B40" s="78"/>
      <c r="C40" s="77" t="s">
        <v>429</v>
      </c>
      <c r="D40" s="275"/>
      <c r="E40" s="275"/>
      <c r="F40" s="275"/>
      <c r="G40" s="275"/>
      <c r="H40" s="275"/>
      <c r="I40" s="275"/>
      <c r="J40" s="275"/>
      <c r="K40" s="275"/>
      <c r="L40" s="275"/>
      <c r="M40" s="275"/>
      <c r="N40" s="275"/>
      <c r="O40" s="275"/>
      <c r="P40" s="275"/>
      <c r="Q40" s="273"/>
      <c r="R40" s="273"/>
      <c r="S40" s="273"/>
      <c r="T40" s="275"/>
      <c r="U40" s="275"/>
      <c r="V40" s="273"/>
    </row>
    <row r="41" spans="2:22" s="77" customFormat="1" ht="16.5" customHeight="1" x14ac:dyDescent="0.3">
      <c r="B41" s="78"/>
      <c r="C41" s="77" t="s">
        <v>430</v>
      </c>
      <c r="D41" s="275"/>
      <c r="E41" s="275"/>
      <c r="F41" s="275"/>
      <c r="G41" s="275"/>
      <c r="H41" s="275"/>
      <c r="I41" s="275"/>
      <c r="J41" s="275"/>
      <c r="K41" s="275"/>
      <c r="L41" s="275"/>
      <c r="M41" s="275"/>
      <c r="N41" s="275"/>
      <c r="O41" s="275"/>
      <c r="P41" s="275"/>
      <c r="Q41" s="273"/>
      <c r="R41" s="273"/>
      <c r="S41" s="273"/>
      <c r="T41" s="275"/>
      <c r="U41" s="275"/>
      <c r="V41" s="273"/>
    </row>
    <row r="42" spans="2:22" s="77" customFormat="1" ht="16.5" customHeight="1" x14ac:dyDescent="0.3">
      <c r="B42" s="78"/>
      <c r="C42" s="77" t="s">
        <v>431</v>
      </c>
      <c r="D42" s="275"/>
      <c r="E42" s="275"/>
      <c r="F42" s="275"/>
      <c r="G42" s="275"/>
      <c r="H42" s="275"/>
      <c r="I42" s="275"/>
      <c r="J42" s="275"/>
      <c r="K42" s="275"/>
      <c r="L42" s="275"/>
      <c r="M42" s="275"/>
      <c r="N42" s="275"/>
      <c r="O42" s="275"/>
      <c r="P42" s="275"/>
      <c r="Q42" s="273"/>
      <c r="R42" s="273"/>
      <c r="S42" s="273"/>
      <c r="T42" s="275"/>
      <c r="U42" s="275"/>
      <c r="V42" s="273"/>
    </row>
    <row r="43" spans="2:22" s="77" customFormat="1" ht="16.5" customHeight="1" x14ac:dyDescent="0.3">
      <c r="B43" s="78"/>
      <c r="C43" s="77" t="s">
        <v>432</v>
      </c>
      <c r="D43" s="275"/>
      <c r="E43" s="275"/>
      <c r="F43" s="275"/>
      <c r="G43" s="275"/>
      <c r="H43" s="275"/>
      <c r="I43" s="275"/>
      <c r="J43" s="275"/>
      <c r="K43" s="275"/>
      <c r="L43" s="275"/>
      <c r="M43" s="275"/>
      <c r="N43" s="275"/>
      <c r="O43" s="275"/>
      <c r="P43" s="275"/>
      <c r="Q43" s="273"/>
      <c r="R43" s="273"/>
      <c r="S43" s="273"/>
      <c r="T43" s="275"/>
      <c r="U43" s="275"/>
      <c r="V43" s="273"/>
    </row>
    <row r="44" spans="2:22" s="77" customFormat="1" ht="16.5" customHeight="1" x14ac:dyDescent="0.3">
      <c r="B44" s="78"/>
      <c r="C44" s="77" t="s">
        <v>433</v>
      </c>
      <c r="D44" s="275"/>
      <c r="E44" s="275"/>
      <c r="F44" s="275"/>
      <c r="G44" s="275"/>
      <c r="H44" s="275"/>
      <c r="I44" s="275"/>
      <c r="J44" s="275"/>
      <c r="K44" s="275"/>
      <c r="L44" s="275"/>
      <c r="M44" s="275"/>
      <c r="N44" s="275"/>
      <c r="O44" s="275"/>
      <c r="P44" s="275"/>
      <c r="Q44" s="273"/>
      <c r="R44" s="273"/>
      <c r="S44" s="273"/>
      <c r="T44" s="275"/>
      <c r="U44" s="275"/>
      <c r="V44" s="273"/>
    </row>
    <row r="45" spans="2:22" s="77" customFormat="1" ht="16.5" customHeight="1" x14ac:dyDescent="0.3">
      <c r="B45" s="78"/>
      <c r="C45" s="77" t="s">
        <v>434</v>
      </c>
      <c r="D45" s="275"/>
      <c r="E45" s="275"/>
      <c r="F45" s="275"/>
      <c r="G45" s="275"/>
      <c r="H45" s="275"/>
      <c r="I45" s="275"/>
      <c r="J45" s="275"/>
      <c r="K45" s="275"/>
      <c r="L45" s="275"/>
      <c r="M45" s="275"/>
      <c r="N45" s="275"/>
      <c r="O45" s="275"/>
      <c r="P45" s="275"/>
      <c r="Q45" s="273"/>
      <c r="R45" s="273"/>
      <c r="S45" s="273"/>
      <c r="T45" s="275"/>
      <c r="U45" s="275"/>
      <c r="V45" s="273"/>
    </row>
    <row r="46" spans="2:22" s="77" customFormat="1" ht="16.5" customHeight="1" x14ac:dyDescent="0.3">
      <c r="B46" s="78"/>
      <c r="C46" s="77" t="s">
        <v>435</v>
      </c>
      <c r="D46" s="275"/>
      <c r="E46" s="275"/>
      <c r="F46" s="275"/>
      <c r="G46" s="275"/>
      <c r="H46" s="275"/>
      <c r="I46" s="275"/>
      <c r="J46" s="275"/>
      <c r="K46" s="275"/>
      <c r="L46" s="275"/>
      <c r="M46" s="275"/>
      <c r="N46" s="275"/>
      <c r="O46" s="275"/>
      <c r="P46" s="275"/>
      <c r="Q46" s="273"/>
      <c r="R46" s="273"/>
      <c r="S46" s="273"/>
      <c r="T46" s="275"/>
      <c r="U46" s="275"/>
      <c r="V46" s="273"/>
    </row>
    <row r="47" spans="2:22" s="77" customFormat="1" ht="16.5" customHeight="1" x14ac:dyDescent="0.3">
      <c r="B47" s="78"/>
      <c r="C47" s="77" t="s">
        <v>436</v>
      </c>
      <c r="D47" s="275"/>
      <c r="E47" s="275"/>
      <c r="F47" s="275"/>
      <c r="G47" s="275"/>
      <c r="H47" s="275"/>
      <c r="I47" s="275"/>
      <c r="J47" s="275"/>
      <c r="K47" s="275"/>
      <c r="L47" s="275"/>
      <c r="M47" s="275"/>
      <c r="N47" s="275"/>
      <c r="O47" s="275"/>
      <c r="P47" s="275"/>
      <c r="Q47" s="273"/>
      <c r="R47" s="273"/>
      <c r="S47" s="273"/>
      <c r="T47" s="275"/>
      <c r="U47" s="275"/>
      <c r="V47" s="273"/>
    </row>
    <row r="48" spans="2:22" s="77" customFormat="1" ht="16.5" customHeight="1" x14ac:dyDescent="0.3">
      <c r="B48" s="78"/>
      <c r="C48" s="77" t="s">
        <v>437</v>
      </c>
      <c r="D48" s="275"/>
      <c r="E48" s="275"/>
      <c r="F48" s="275"/>
      <c r="G48" s="275"/>
      <c r="H48" s="275"/>
      <c r="I48" s="275"/>
      <c r="J48" s="275"/>
      <c r="K48" s="275"/>
      <c r="L48" s="275"/>
      <c r="M48" s="275"/>
      <c r="N48" s="275"/>
      <c r="O48" s="275"/>
      <c r="P48" s="275"/>
      <c r="Q48" s="275"/>
      <c r="R48" s="275"/>
      <c r="S48" s="275"/>
      <c r="T48" s="273"/>
      <c r="U48" s="273"/>
      <c r="V48" s="275"/>
    </row>
    <row r="49" spans="2:22" x14ac:dyDescent="0.3">
      <c r="B49" s="75" t="s">
        <v>277</v>
      </c>
      <c r="C49" s="77"/>
      <c r="D49" s="310" t="s">
        <v>370</v>
      </c>
      <c r="E49" s="310" t="s">
        <v>370</v>
      </c>
      <c r="F49" s="310" t="s">
        <v>369</v>
      </c>
      <c r="G49" s="310" t="s">
        <v>371</v>
      </c>
      <c r="H49" s="310" t="s">
        <v>375</v>
      </c>
      <c r="I49" s="310" t="s">
        <v>375</v>
      </c>
      <c r="J49" s="310" t="s">
        <v>368</v>
      </c>
      <c r="K49" s="310" t="s">
        <v>370</v>
      </c>
      <c r="L49" s="310" t="s">
        <v>370</v>
      </c>
      <c r="M49" s="310" t="s">
        <v>369</v>
      </c>
      <c r="N49" s="308" t="s">
        <v>373</v>
      </c>
      <c r="O49" s="310" t="s">
        <v>371</v>
      </c>
      <c r="P49" s="310" t="s">
        <v>371</v>
      </c>
      <c r="Q49" s="308" t="s">
        <v>376</v>
      </c>
      <c r="R49" s="308" t="s">
        <v>377</v>
      </c>
      <c r="S49" s="308" t="s">
        <v>378</v>
      </c>
      <c r="T49" s="308" t="s">
        <v>379</v>
      </c>
      <c r="U49" s="308" t="s">
        <v>379</v>
      </c>
      <c r="V49" s="308" t="s">
        <v>379</v>
      </c>
    </row>
    <row r="50" spans="2:22" x14ac:dyDescent="0.3">
      <c r="C50" s="269" t="s">
        <v>380</v>
      </c>
      <c r="D50" s="311"/>
      <c r="E50" s="311"/>
      <c r="F50" s="311"/>
      <c r="G50" s="311"/>
      <c r="H50" s="311"/>
      <c r="I50" s="311"/>
      <c r="J50" s="311"/>
      <c r="K50" s="311"/>
      <c r="L50" s="311"/>
      <c r="M50" s="311"/>
      <c r="N50" s="309"/>
      <c r="O50" s="311"/>
      <c r="P50" s="311"/>
      <c r="Q50" s="309"/>
      <c r="R50" s="309"/>
      <c r="S50" s="309"/>
      <c r="T50" s="309"/>
      <c r="U50" s="309"/>
      <c r="V50" s="309"/>
    </row>
    <row r="51" spans="2:22" x14ac:dyDescent="0.3">
      <c r="C51" s="77" t="s">
        <v>171</v>
      </c>
      <c r="D51" s="292"/>
      <c r="E51" s="293"/>
      <c r="F51" s="293"/>
      <c r="G51" s="291"/>
      <c r="H51" s="292"/>
      <c r="I51" s="291"/>
      <c r="J51" s="292"/>
      <c r="K51" s="292"/>
      <c r="L51" s="291"/>
      <c r="M51" s="291"/>
      <c r="N51" s="255"/>
      <c r="O51" s="255"/>
      <c r="P51" s="255"/>
      <c r="Q51" s="255"/>
      <c r="R51" s="255"/>
      <c r="S51" s="255"/>
      <c r="T51" s="262"/>
      <c r="U51" s="254"/>
      <c r="V51" s="255"/>
    </row>
    <row r="52" spans="2:22" x14ac:dyDescent="0.3">
      <c r="C52" s="77" t="s">
        <v>170</v>
      </c>
      <c r="D52" s="291"/>
      <c r="E52" s="293"/>
      <c r="F52" s="293"/>
      <c r="G52" s="291"/>
      <c r="H52" s="291"/>
      <c r="I52" s="291"/>
      <c r="J52" s="291"/>
      <c r="K52" s="291"/>
      <c r="L52" s="291"/>
      <c r="M52" s="291"/>
      <c r="N52" s="255"/>
      <c r="O52" s="262"/>
      <c r="P52" s="262"/>
      <c r="Q52" s="255"/>
      <c r="R52" s="255"/>
      <c r="S52" s="255"/>
      <c r="T52" s="255"/>
      <c r="U52" s="255"/>
      <c r="V52" s="262"/>
    </row>
    <row r="53" spans="2:22" x14ac:dyDescent="0.3">
      <c r="C53" s="77" t="s">
        <v>381</v>
      </c>
      <c r="D53" s="291"/>
      <c r="E53" s="293"/>
      <c r="F53" s="293"/>
      <c r="G53" s="292"/>
      <c r="H53" s="292"/>
      <c r="I53" s="292"/>
      <c r="J53" s="292"/>
      <c r="K53" s="292"/>
      <c r="L53" s="292"/>
      <c r="M53" s="291"/>
      <c r="N53" s="255"/>
      <c r="O53" s="255"/>
      <c r="P53" s="255"/>
      <c r="Q53" s="255"/>
      <c r="R53" s="255"/>
      <c r="S53" s="255"/>
      <c r="T53" s="255"/>
      <c r="U53" s="255"/>
      <c r="V53" s="262"/>
    </row>
    <row r="54" spans="2:22" x14ac:dyDescent="0.3">
      <c r="C54" s="77" t="s">
        <v>180</v>
      </c>
      <c r="D54" s="291"/>
      <c r="E54" s="293"/>
      <c r="F54" s="293"/>
      <c r="G54" s="291"/>
      <c r="H54" s="292"/>
      <c r="I54" s="291"/>
      <c r="J54" s="291"/>
      <c r="K54" s="291"/>
      <c r="L54" s="292"/>
      <c r="M54" s="291"/>
      <c r="N54" s="262"/>
      <c r="O54" s="255"/>
      <c r="P54" s="262"/>
      <c r="Q54" s="255"/>
      <c r="R54" s="255"/>
      <c r="S54" s="255"/>
      <c r="T54" s="254"/>
      <c r="U54" s="254"/>
      <c r="V54" s="262"/>
    </row>
    <row r="55" spans="2:22" x14ac:dyDescent="0.3">
      <c r="C55" s="76" t="s">
        <v>182</v>
      </c>
      <c r="D55" s="291"/>
      <c r="E55" s="293"/>
      <c r="F55" s="293"/>
      <c r="G55" s="291"/>
      <c r="H55" s="291"/>
      <c r="I55" s="291"/>
      <c r="J55" s="291"/>
      <c r="K55" s="291"/>
      <c r="L55" s="291"/>
      <c r="M55" s="291"/>
      <c r="N55" s="262"/>
      <c r="O55" s="262"/>
      <c r="P55" s="262"/>
      <c r="Q55" s="255"/>
      <c r="R55" s="255"/>
      <c r="S55" s="255"/>
      <c r="T55" s="254"/>
      <c r="U55" s="254"/>
      <c r="V55" s="262"/>
    </row>
    <row r="56" spans="2:22" x14ac:dyDescent="0.3">
      <c r="C56" s="77" t="s">
        <v>181</v>
      </c>
      <c r="D56" s="291"/>
      <c r="E56" s="293"/>
      <c r="F56" s="294"/>
      <c r="G56" s="291"/>
      <c r="H56" s="292"/>
      <c r="I56" s="291"/>
      <c r="J56" s="291"/>
      <c r="K56" s="291"/>
      <c r="L56" s="292"/>
      <c r="M56" s="291"/>
      <c r="N56" s="262"/>
      <c r="O56" s="262"/>
      <c r="P56" s="262"/>
      <c r="Q56" s="255"/>
      <c r="R56" s="255"/>
      <c r="S56" s="255"/>
      <c r="T56" s="254"/>
      <c r="U56" s="254"/>
      <c r="V56" s="262"/>
    </row>
    <row r="57" spans="2:22" x14ac:dyDescent="0.3">
      <c r="C57" s="77" t="s">
        <v>278</v>
      </c>
      <c r="D57" s="291"/>
      <c r="E57" s="293"/>
      <c r="F57" s="293"/>
      <c r="G57" s="291"/>
      <c r="H57" s="291"/>
      <c r="I57" s="291"/>
      <c r="J57" s="291"/>
      <c r="K57" s="291"/>
      <c r="L57" s="291"/>
      <c r="M57" s="291"/>
      <c r="N57" s="262"/>
      <c r="O57" s="255"/>
      <c r="P57" s="262"/>
      <c r="Q57" s="255"/>
      <c r="R57" s="255"/>
      <c r="S57" s="255"/>
      <c r="T57" s="254"/>
      <c r="U57" s="254"/>
      <c r="V57" s="262"/>
    </row>
    <row r="58" spans="2:22" x14ac:dyDescent="0.3">
      <c r="C58" s="77" t="s">
        <v>279</v>
      </c>
      <c r="D58" s="291"/>
      <c r="E58" s="293"/>
      <c r="F58" s="293"/>
      <c r="G58" s="291"/>
      <c r="H58" s="291"/>
      <c r="I58" s="291"/>
      <c r="J58" s="291"/>
      <c r="K58" s="291"/>
      <c r="L58" s="291"/>
      <c r="M58" s="291"/>
      <c r="N58" s="262"/>
      <c r="O58" s="262"/>
      <c r="P58" s="262"/>
      <c r="Q58" s="255"/>
      <c r="R58" s="255"/>
      <c r="S58" s="255"/>
      <c r="T58" s="254"/>
      <c r="U58" s="254"/>
      <c r="V58" s="262"/>
    </row>
    <row r="59" spans="2:22" x14ac:dyDescent="0.3">
      <c r="C59" s="77" t="s">
        <v>212</v>
      </c>
      <c r="D59" s="291"/>
      <c r="E59" s="293"/>
      <c r="F59" s="293"/>
      <c r="G59" s="291"/>
      <c r="H59" s="292"/>
      <c r="I59" s="291"/>
      <c r="J59" s="292"/>
      <c r="K59" s="291"/>
      <c r="L59" s="291"/>
      <c r="M59" s="291"/>
      <c r="N59" s="255"/>
      <c r="O59" s="262"/>
      <c r="P59" s="255"/>
      <c r="Q59" s="255"/>
      <c r="R59" s="255"/>
      <c r="S59" s="255"/>
      <c r="T59" s="254"/>
      <c r="U59" s="254"/>
      <c r="V59" s="255"/>
    </row>
    <row r="60" spans="2:22" x14ac:dyDescent="0.3">
      <c r="C60" s="77" t="s">
        <v>168</v>
      </c>
      <c r="D60" s="291"/>
      <c r="E60" s="293"/>
      <c r="F60" s="293"/>
      <c r="G60" s="291"/>
      <c r="H60" s="291"/>
      <c r="I60" s="291"/>
      <c r="J60" s="291"/>
      <c r="K60" s="291"/>
      <c r="L60" s="291"/>
      <c r="M60" s="291"/>
      <c r="N60" s="255"/>
      <c r="O60" s="255"/>
      <c r="P60" s="255"/>
      <c r="Q60" s="255"/>
      <c r="R60" s="255"/>
      <c r="S60" s="255"/>
      <c r="T60" s="254"/>
      <c r="U60" s="254"/>
      <c r="V60" s="262"/>
    </row>
    <row r="61" spans="2:22" x14ac:dyDescent="0.3">
      <c r="C61" s="77" t="s">
        <v>213</v>
      </c>
      <c r="D61" s="291"/>
      <c r="E61" s="292"/>
      <c r="F61" s="293"/>
      <c r="G61" s="291"/>
      <c r="H61" s="291"/>
      <c r="I61" s="291"/>
      <c r="J61" s="291"/>
      <c r="K61" s="292"/>
      <c r="L61" s="291"/>
      <c r="M61" s="291"/>
      <c r="N61" s="262"/>
      <c r="O61" s="262"/>
      <c r="P61" s="262"/>
      <c r="Q61" s="255"/>
      <c r="R61" s="255"/>
      <c r="S61" s="255"/>
      <c r="T61" s="262"/>
      <c r="U61" s="254"/>
      <c r="V61" s="255"/>
    </row>
    <row r="62" spans="2:22" x14ac:dyDescent="0.3">
      <c r="C62" s="76" t="s">
        <v>172</v>
      </c>
      <c r="D62" s="291"/>
      <c r="E62" s="293"/>
      <c r="F62" s="293"/>
      <c r="G62" s="291"/>
      <c r="H62" s="291"/>
      <c r="I62" s="291"/>
      <c r="J62" s="291"/>
      <c r="K62" s="291"/>
      <c r="L62" s="291"/>
      <c r="M62" s="291"/>
      <c r="N62" s="262"/>
      <c r="O62" s="255"/>
      <c r="P62" s="262"/>
      <c r="Q62" s="255"/>
      <c r="R62" s="255"/>
      <c r="S62" s="255"/>
      <c r="T62" s="254"/>
      <c r="U62" s="254"/>
      <c r="V62" s="262"/>
    </row>
    <row r="63" spans="2:22" x14ac:dyDescent="0.3">
      <c r="C63" s="77" t="s">
        <v>382</v>
      </c>
      <c r="D63" s="291"/>
      <c r="E63" s="293"/>
      <c r="F63" s="293"/>
      <c r="G63" s="291"/>
      <c r="H63" s="291"/>
      <c r="I63" s="291"/>
      <c r="J63" s="291"/>
      <c r="K63" s="291"/>
      <c r="L63" s="291"/>
      <c r="M63" s="291"/>
      <c r="N63" s="262"/>
      <c r="O63" s="262"/>
      <c r="P63" s="262"/>
      <c r="Q63" s="255"/>
      <c r="R63" s="255"/>
      <c r="S63" s="255"/>
      <c r="T63" s="254"/>
      <c r="U63" s="254"/>
      <c r="V63" s="262"/>
    </row>
    <row r="64" spans="2:22" x14ac:dyDescent="0.3">
      <c r="C64" s="76" t="s">
        <v>169</v>
      </c>
      <c r="D64" s="292"/>
      <c r="E64" s="293"/>
      <c r="F64" s="293"/>
      <c r="G64" s="291"/>
      <c r="H64" s="292"/>
      <c r="I64" s="291"/>
      <c r="J64" s="291"/>
      <c r="K64" s="291"/>
      <c r="L64" s="292"/>
      <c r="M64" s="291"/>
      <c r="N64" s="255"/>
      <c r="O64" s="255"/>
      <c r="P64" s="255"/>
      <c r="Q64" s="255"/>
      <c r="R64" s="255"/>
      <c r="S64" s="255"/>
      <c r="T64" s="254"/>
      <c r="U64" s="254"/>
      <c r="V64" s="262"/>
    </row>
    <row r="65" spans="3:22" x14ac:dyDescent="0.3">
      <c r="C65" s="76" t="s">
        <v>183</v>
      </c>
      <c r="D65" s="291"/>
      <c r="E65" s="293"/>
      <c r="F65" s="293"/>
      <c r="G65" s="291"/>
      <c r="H65" s="292"/>
      <c r="I65" s="291"/>
      <c r="J65" s="291"/>
      <c r="K65" s="291"/>
      <c r="L65" s="292"/>
      <c r="M65" s="291"/>
      <c r="N65" s="255"/>
      <c r="O65" s="262"/>
      <c r="P65" s="255"/>
      <c r="Q65" s="255"/>
      <c r="R65" s="255"/>
      <c r="S65" s="255"/>
      <c r="T65" s="262"/>
      <c r="U65" s="254"/>
      <c r="V65" s="262"/>
    </row>
    <row r="66" spans="3:22" x14ac:dyDescent="0.3">
      <c r="C66" s="76" t="s">
        <v>401</v>
      </c>
      <c r="D66" s="291"/>
      <c r="E66" s="293"/>
      <c r="F66" s="293"/>
      <c r="G66" s="291"/>
      <c r="H66" s="292"/>
      <c r="I66" s="291"/>
      <c r="J66" s="291"/>
      <c r="K66" s="291"/>
      <c r="L66" s="292"/>
      <c r="M66" s="291"/>
      <c r="N66" s="255"/>
      <c r="O66" s="262"/>
      <c r="P66" s="255"/>
      <c r="Q66" s="255"/>
      <c r="R66" s="255"/>
      <c r="S66" s="255"/>
      <c r="T66" s="262"/>
      <c r="U66" s="254"/>
      <c r="V66" s="255"/>
    </row>
    <row r="67" spans="3:22" x14ac:dyDescent="0.3">
      <c r="C67" s="76" t="s">
        <v>179</v>
      </c>
      <c r="D67" s="291"/>
      <c r="E67" s="293"/>
      <c r="F67" s="293"/>
      <c r="G67" s="291"/>
      <c r="H67" s="291"/>
      <c r="I67" s="291"/>
      <c r="J67" s="291"/>
      <c r="K67" s="291"/>
      <c r="L67" s="291"/>
      <c r="M67" s="291"/>
      <c r="N67" s="262"/>
      <c r="O67" s="262"/>
      <c r="P67" s="262"/>
      <c r="Q67" s="255"/>
      <c r="R67" s="255"/>
      <c r="S67" s="255"/>
      <c r="T67" s="254"/>
      <c r="U67" s="254"/>
      <c r="V67" s="254"/>
    </row>
    <row r="68" spans="3:22" x14ac:dyDescent="0.3">
      <c r="C68" s="38" t="s">
        <v>214</v>
      </c>
      <c r="D68" s="291"/>
      <c r="E68" s="293"/>
      <c r="F68" s="293"/>
      <c r="G68" s="291"/>
      <c r="H68" s="292"/>
      <c r="I68" s="291"/>
      <c r="J68" s="291"/>
      <c r="K68" s="291"/>
      <c r="L68" s="291"/>
      <c r="M68" s="291"/>
      <c r="N68" s="262"/>
      <c r="O68" s="262"/>
      <c r="P68" s="255"/>
      <c r="Q68" s="255"/>
      <c r="R68" s="255"/>
      <c r="S68" s="255"/>
      <c r="T68" s="254"/>
      <c r="U68" s="254"/>
      <c r="V68" s="254"/>
    </row>
    <row r="69" spans="3:22" x14ac:dyDescent="0.3">
      <c r="C69" s="76" t="s">
        <v>280</v>
      </c>
      <c r="D69" s="291"/>
      <c r="E69" s="293"/>
      <c r="F69" s="293"/>
      <c r="G69" s="291"/>
      <c r="H69" s="291"/>
      <c r="I69" s="291"/>
      <c r="J69" s="291"/>
      <c r="K69" s="291"/>
      <c r="L69" s="291"/>
      <c r="M69" s="291"/>
      <c r="N69" s="262"/>
      <c r="O69" s="262"/>
      <c r="P69" s="262"/>
      <c r="Q69" s="255"/>
      <c r="R69" s="255"/>
      <c r="S69" s="255"/>
      <c r="T69" s="254"/>
      <c r="U69" s="254"/>
      <c r="V69" s="254"/>
    </row>
    <row r="70" spans="3:22" ht="15.75" customHeight="1" x14ac:dyDescent="0.3">
      <c r="C70" s="76" t="s">
        <v>215</v>
      </c>
      <c r="D70" s="291"/>
      <c r="E70" s="293"/>
      <c r="F70" s="293"/>
      <c r="G70" s="291"/>
      <c r="H70" s="291"/>
      <c r="I70" s="291"/>
      <c r="J70" s="291"/>
      <c r="K70" s="291"/>
      <c r="L70" s="291"/>
      <c r="M70" s="291"/>
      <c r="N70" s="262"/>
      <c r="O70" s="262"/>
      <c r="P70" s="262"/>
      <c r="Q70" s="255"/>
      <c r="R70" s="255"/>
      <c r="S70" s="255"/>
      <c r="T70" s="254"/>
      <c r="U70" s="254"/>
      <c r="V70" s="254"/>
    </row>
    <row r="71" spans="3:22" x14ac:dyDescent="0.3">
      <c r="C71" s="77" t="s">
        <v>216</v>
      </c>
      <c r="D71" s="292"/>
      <c r="E71" s="292"/>
      <c r="F71" s="292"/>
      <c r="G71" s="291"/>
      <c r="H71" s="292"/>
      <c r="I71" s="291"/>
      <c r="J71" s="291"/>
      <c r="K71" s="291"/>
      <c r="L71" s="291"/>
      <c r="M71" s="291"/>
      <c r="N71" s="255"/>
      <c r="O71" s="255"/>
      <c r="P71" s="262"/>
      <c r="Q71" s="254"/>
      <c r="R71" s="254"/>
      <c r="S71" s="254"/>
      <c r="T71" s="254"/>
      <c r="U71" s="254"/>
      <c r="V71" s="254"/>
    </row>
    <row r="72" spans="3:22" x14ac:dyDescent="0.3">
      <c r="C72" s="77" t="s">
        <v>217</v>
      </c>
      <c r="D72" s="292"/>
      <c r="E72" s="293"/>
      <c r="F72" s="291"/>
      <c r="G72" s="291"/>
      <c r="H72" s="291"/>
      <c r="I72" s="291"/>
      <c r="J72" s="291"/>
      <c r="K72" s="291"/>
      <c r="L72" s="291"/>
      <c r="M72" s="291"/>
      <c r="N72" s="262"/>
      <c r="O72" s="262"/>
      <c r="P72" s="262"/>
      <c r="Q72" s="254"/>
      <c r="R72" s="254"/>
      <c r="S72" s="254"/>
      <c r="T72" s="254"/>
      <c r="U72" s="254"/>
      <c r="V72" s="254"/>
    </row>
    <row r="73" spans="3:22" ht="49.5" x14ac:dyDescent="0.3">
      <c r="C73" s="263" t="s">
        <v>281</v>
      </c>
      <c r="D73" s="291"/>
      <c r="E73" s="293"/>
      <c r="F73" s="293"/>
      <c r="G73" s="291"/>
      <c r="H73" s="291"/>
      <c r="I73" s="291"/>
      <c r="J73" s="292"/>
      <c r="K73" s="291"/>
      <c r="L73" s="291"/>
      <c r="M73" s="291"/>
      <c r="N73" s="262"/>
      <c r="O73" s="262"/>
      <c r="P73" s="262"/>
      <c r="Q73" s="254"/>
      <c r="R73" s="254"/>
      <c r="S73" s="254"/>
      <c r="T73" s="254"/>
      <c r="U73" s="254"/>
      <c r="V73" s="255"/>
    </row>
    <row r="74" spans="3:22" x14ac:dyDescent="0.3">
      <c r="C74" s="77" t="s">
        <v>453</v>
      </c>
      <c r="D74" s="291"/>
      <c r="E74" s="292"/>
      <c r="F74" s="293"/>
      <c r="G74" s="291"/>
      <c r="H74" s="291"/>
      <c r="I74" s="291"/>
      <c r="J74" s="291"/>
      <c r="K74" s="291"/>
      <c r="L74" s="291"/>
      <c r="M74" s="291"/>
      <c r="N74" s="262"/>
      <c r="O74" s="262"/>
      <c r="P74" s="262"/>
      <c r="Q74" s="254"/>
      <c r="R74" s="254"/>
      <c r="S74" s="254"/>
      <c r="T74" s="254"/>
      <c r="U74" s="254"/>
      <c r="V74" s="254"/>
    </row>
    <row r="75" spans="3:22" x14ac:dyDescent="0.3">
      <c r="C75" s="77" t="s">
        <v>218</v>
      </c>
      <c r="D75" s="291"/>
      <c r="E75" s="292"/>
      <c r="F75" s="293"/>
      <c r="G75" s="291"/>
      <c r="H75" s="291"/>
      <c r="I75" s="291"/>
      <c r="J75" s="291"/>
      <c r="K75" s="291"/>
      <c r="L75" s="291"/>
      <c r="M75" s="291"/>
      <c r="N75" s="262"/>
      <c r="O75" s="262"/>
      <c r="P75" s="262"/>
      <c r="Q75" s="254"/>
      <c r="R75" s="254"/>
      <c r="S75" s="254"/>
      <c r="T75" s="254"/>
      <c r="U75" s="254"/>
      <c r="V75" s="254"/>
    </row>
    <row r="76" spans="3:22" x14ac:dyDescent="0.3">
      <c r="C76" s="77" t="s">
        <v>219</v>
      </c>
      <c r="D76" s="291"/>
      <c r="E76" s="292"/>
      <c r="F76" s="291"/>
      <c r="G76" s="291"/>
      <c r="H76" s="291"/>
      <c r="I76" s="291"/>
      <c r="J76" s="291"/>
      <c r="K76" s="291"/>
      <c r="L76" s="291"/>
      <c r="M76" s="291"/>
      <c r="N76" s="262"/>
      <c r="O76" s="262"/>
      <c r="P76" s="262"/>
      <c r="Q76" s="254"/>
      <c r="R76" s="254"/>
      <c r="S76" s="254"/>
      <c r="T76" s="254"/>
      <c r="U76" s="254"/>
      <c r="V76" s="254"/>
    </row>
    <row r="77" spans="3:22" x14ac:dyDescent="0.3">
      <c r="C77" s="77" t="s">
        <v>220</v>
      </c>
      <c r="D77" s="291"/>
      <c r="E77" s="293"/>
      <c r="F77" s="293"/>
      <c r="G77" s="291"/>
      <c r="H77" s="291"/>
      <c r="I77" s="291"/>
      <c r="J77" s="291"/>
      <c r="K77" s="291"/>
      <c r="L77" s="291"/>
      <c r="M77" s="291"/>
      <c r="N77" s="255"/>
      <c r="O77" s="262"/>
      <c r="P77" s="262"/>
      <c r="Q77" s="254"/>
      <c r="R77" s="254"/>
      <c r="S77" s="254"/>
      <c r="T77" s="254"/>
      <c r="U77" s="254"/>
      <c r="V77" s="255"/>
    </row>
    <row r="78" spans="3:22" x14ac:dyDescent="0.3">
      <c r="C78" s="77" t="s">
        <v>221</v>
      </c>
      <c r="D78" s="292"/>
      <c r="E78" s="292"/>
      <c r="F78" s="292"/>
      <c r="G78" s="291"/>
      <c r="H78" s="292"/>
      <c r="I78" s="292"/>
      <c r="J78" s="292"/>
      <c r="K78" s="292"/>
      <c r="L78" s="291"/>
      <c r="M78" s="292"/>
      <c r="N78" s="255"/>
      <c r="O78" s="262"/>
      <c r="P78" s="255"/>
      <c r="Q78" s="254"/>
      <c r="R78" s="254"/>
      <c r="S78" s="254"/>
      <c r="T78" s="254"/>
      <c r="U78" s="254"/>
      <c r="V78" s="254"/>
    </row>
    <row r="79" spans="3:22" x14ac:dyDescent="0.3">
      <c r="C79" s="77" t="s">
        <v>222</v>
      </c>
      <c r="D79" s="291"/>
      <c r="E79" s="293"/>
      <c r="F79" s="293"/>
      <c r="G79" s="291"/>
      <c r="H79" s="291"/>
      <c r="I79" s="291"/>
      <c r="J79" s="291"/>
      <c r="K79" s="291"/>
      <c r="L79" s="291"/>
      <c r="M79" s="291"/>
      <c r="N79" s="255"/>
      <c r="O79" s="262"/>
      <c r="P79" s="262"/>
      <c r="Q79" s="254"/>
      <c r="R79" s="254"/>
      <c r="S79" s="254"/>
      <c r="T79" s="254"/>
      <c r="U79" s="254"/>
      <c r="V79" s="254"/>
    </row>
    <row r="80" spans="3:22" x14ac:dyDescent="0.3">
      <c r="C80" s="77" t="s">
        <v>256</v>
      </c>
      <c r="D80" s="291"/>
      <c r="E80" s="293"/>
      <c r="F80" s="293"/>
      <c r="G80" s="291"/>
      <c r="H80" s="291"/>
      <c r="I80" s="291"/>
      <c r="J80" s="291"/>
      <c r="K80" s="291"/>
      <c r="L80" s="291"/>
      <c r="M80" s="291"/>
      <c r="N80" s="255"/>
      <c r="O80" s="255"/>
      <c r="P80" s="262"/>
      <c r="Q80" s="254"/>
      <c r="R80" s="254"/>
      <c r="S80" s="254"/>
      <c r="T80" s="254"/>
      <c r="U80" s="254"/>
      <c r="V80" s="254"/>
    </row>
    <row r="81" spans="2:22" x14ac:dyDescent="0.3">
      <c r="C81" s="77" t="s">
        <v>223</v>
      </c>
      <c r="D81" s="291"/>
      <c r="E81" s="293"/>
      <c r="F81" s="293"/>
      <c r="G81" s="291"/>
      <c r="H81" s="291"/>
      <c r="I81" s="291"/>
      <c r="J81" s="291"/>
      <c r="K81" s="291"/>
      <c r="L81" s="291"/>
      <c r="M81" s="291"/>
      <c r="N81" s="255"/>
      <c r="O81" s="262"/>
      <c r="P81" s="262"/>
      <c r="Q81" s="254"/>
      <c r="R81" s="254"/>
      <c r="S81" s="254"/>
      <c r="T81" s="254"/>
      <c r="U81" s="254"/>
      <c r="V81" s="254"/>
    </row>
    <row r="82" spans="2:22" x14ac:dyDescent="0.3">
      <c r="B82" s="76"/>
      <c r="C82" s="77" t="s">
        <v>224</v>
      </c>
      <c r="D82" s="292"/>
      <c r="E82" s="293"/>
      <c r="F82" s="293"/>
      <c r="G82" s="291"/>
      <c r="H82" s="291"/>
      <c r="I82" s="292"/>
      <c r="J82" s="292"/>
      <c r="K82" s="291"/>
      <c r="L82" s="292"/>
      <c r="M82" s="291"/>
      <c r="N82" s="255"/>
      <c r="O82" s="262"/>
      <c r="P82" s="262"/>
      <c r="Q82" s="254"/>
      <c r="R82" s="254"/>
      <c r="S82" s="254"/>
      <c r="T82" s="254"/>
      <c r="U82" s="254"/>
      <c r="V82" s="254"/>
    </row>
    <row r="83" spans="2:22" x14ac:dyDescent="0.3">
      <c r="B83" s="76"/>
      <c r="C83" s="77" t="s">
        <v>225</v>
      </c>
      <c r="D83" s="291"/>
      <c r="E83" s="293"/>
      <c r="F83" s="293"/>
      <c r="G83" s="291"/>
      <c r="H83" s="291"/>
      <c r="I83" s="291"/>
      <c r="J83" s="291"/>
      <c r="K83" s="291"/>
      <c r="L83" s="291"/>
      <c r="M83" s="291"/>
      <c r="N83" s="255"/>
      <c r="O83" s="255"/>
      <c r="P83" s="262"/>
      <c r="Q83" s="254"/>
      <c r="R83" s="254"/>
      <c r="S83" s="254"/>
      <c r="T83" s="254"/>
      <c r="U83" s="254"/>
      <c r="V83" s="254"/>
    </row>
    <row r="84" spans="2:22" x14ac:dyDescent="0.3">
      <c r="B84" s="76"/>
      <c r="C84" s="76" t="s">
        <v>226</v>
      </c>
      <c r="D84" s="296"/>
      <c r="E84" s="299"/>
      <c r="F84" s="299"/>
      <c r="G84" s="298"/>
      <c r="H84" s="298"/>
      <c r="I84" s="298"/>
      <c r="J84" s="298"/>
      <c r="K84" s="298"/>
      <c r="L84" s="292"/>
      <c r="M84" s="298"/>
      <c r="N84" s="262"/>
      <c r="O84" s="262"/>
      <c r="P84" s="262"/>
      <c r="Q84" s="254"/>
      <c r="R84" s="254"/>
      <c r="S84" s="254"/>
      <c r="T84" s="254"/>
      <c r="U84" s="254"/>
      <c r="V84" s="254"/>
    </row>
    <row r="85" spans="2:22" ht="16.5" customHeight="1" x14ac:dyDescent="0.3">
      <c r="B85" s="76"/>
      <c r="C85" s="76" t="s">
        <v>410</v>
      </c>
      <c r="D85" s="298"/>
      <c r="E85" s="274"/>
      <c r="F85" s="274"/>
      <c r="G85" s="275"/>
      <c r="H85" s="275"/>
      <c r="I85" s="275"/>
      <c r="J85" s="275"/>
      <c r="K85" s="275"/>
      <c r="L85" s="275"/>
      <c r="M85" s="275"/>
      <c r="N85" s="275"/>
      <c r="O85" s="275"/>
      <c r="P85" s="275"/>
      <c r="Q85" s="274"/>
      <c r="R85" s="274"/>
      <c r="S85" s="274"/>
      <c r="T85" s="274"/>
      <c r="U85" s="274"/>
      <c r="V85" s="255"/>
    </row>
    <row r="86" spans="2:22" ht="16.5" customHeight="1" x14ac:dyDescent="0.3">
      <c r="B86" s="76"/>
      <c r="C86" s="76" t="s">
        <v>438</v>
      </c>
      <c r="D86" s="298"/>
      <c r="E86" s="274"/>
      <c r="F86" s="274"/>
      <c r="G86" s="275"/>
      <c r="H86" s="275"/>
      <c r="I86" s="275"/>
      <c r="J86" s="275"/>
      <c r="K86" s="275"/>
      <c r="L86" s="275"/>
      <c r="M86" s="275"/>
      <c r="N86" s="275"/>
      <c r="O86" s="275"/>
      <c r="P86" s="275"/>
      <c r="Q86" s="274"/>
      <c r="R86" s="274"/>
      <c r="S86" s="274"/>
      <c r="T86" s="273"/>
      <c r="U86" s="273"/>
      <c r="V86" s="274"/>
    </row>
    <row r="87" spans="2:22" ht="16.5" customHeight="1" x14ac:dyDescent="0.3">
      <c r="B87" s="76"/>
      <c r="C87" s="76" t="s">
        <v>439</v>
      </c>
      <c r="D87" s="298"/>
      <c r="E87" s="274"/>
      <c r="F87" s="274"/>
      <c r="G87" s="275"/>
      <c r="H87" s="275"/>
      <c r="I87" s="275"/>
      <c r="J87" s="275"/>
      <c r="K87" s="275"/>
      <c r="L87" s="275"/>
      <c r="M87" s="275"/>
      <c r="N87" s="275"/>
      <c r="O87" s="275"/>
      <c r="P87" s="275"/>
      <c r="Q87" s="274"/>
      <c r="R87" s="274"/>
      <c r="S87" s="274"/>
      <c r="T87" s="273"/>
      <c r="U87" s="273"/>
      <c r="V87" s="274"/>
    </row>
    <row r="88" spans="2:22" ht="16.5" customHeight="1" x14ac:dyDescent="0.3">
      <c r="B88" s="76"/>
      <c r="C88" s="76" t="s">
        <v>440</v>
      </c>
      <c r="D88" s="298"/>
      <c r="E88" s="274"/>
      <c r="F88" s="274"/>
      <c r="G88" s="275"/>
      <c r="H88" s="275"/>
      <c r="I88" s="275"/>
      <c r="J88" s="275"/>
      <c r="K88" s="275"/>
      <c r="L88" s="275"/>
      <c r="M88" s="275"/>
      <c r="N88" s="275"/>
      <c r="O88" s="275"/>
      <c r="P88" s="275"/>
      <c r="Q88" s="274"/>
      <c r="R88" s="274"/>
      <c r="S88" s="274"/>
      <c r="T88" s="273"/>
      <c r="U88" s="273"/>
      <c r="V88" s="274"/>
    </row>
    <row r="89" spans="2:22" ht="16.5" customHeight="1" x14ac:dyDescent="0.3">
      <c r="B89" s="76"/>
      <c r="C89" s="76" t="s">
        <v>441</v>
      </c>
      <c r="D89" s="298"/>
      <c r="E89" s="274"/>
      <c r="F89" s="274"/>
      <c r="G89" s="275"/>
      <c r="H89" s="275"/>
      <c r="I89" s="275"/>
      <c r="J89" s="275"/>
      <c r="K89" s="275"/>
      <c r="L89" s="275"/>
      <c r="M89" s="275"/>
      <c r="N89" s="275"/>
      <c r="O89" s="275"/>
      <c r="P89" s="275"/>
      <c r="Q89" s="274"/>
      <c r="R89" s="274"/>
      <c r="S89" s="274"/>
      <c r="T89" s="273"/>
      <c r="U89" s="273"/>
      <c r="V89" s="274"/>
    </row>
    <row r="90" spans="2:22" s="289" customFormat="1" ht="16.5" customHeight="1" x14ac:dyDescent="0.3">
      <c r="C90" s="287" t="s">
        <v>444</v>
      </c>
      <c r="D90" s="296"/>
      <c r="E90" s="299"/>
      <c r="F90" s="299"/>
      <c r="G90" s="298"/>
      <c r="H90" s="298"/>
      <c r="I90" s="298"/>
      <c r="J90" s="298"/>
      <c r="K90" s="298"/>
      <c r="L90" s="292"/>
      <c r="M90" s="298"/>
      <c r="N90" s="298"/>
      <c r="O90" s="298"/>
      <c r="P90" s="298"/>
      <c r="Q90" s="299"/>
      <c r="R90" s="299"/>
      <c r="S90" s="299"/>
      <c r="T90" s="299"/>
      <c r="U90" s="299"/>
      <c r="V90" s="298"/>
    </row>
    <row r="91" spans="2:22" s="289" customFormat="1" ht="16.5" customHeight="1" x14ac:dyDescent="0.3">
      <c r="C91" s="288" t="s">
        <v>445</v>
      </c>
      <c r="D91" s="292"/>
      <c r="E91" s="299"/>
      <c r="F91" s="292"/>
      <c r="G91" s="297"/>
      <c r="H91" s="298"/>
      <c r="I91" s="297"/>
      <c r="J91" s="298"/>
      <c r="K91" s="298"/>
      <c r="L91" s="297"/>
      <c r="M91" s="297"/>
      <c r="N91" s="298"/>
      <c r="O91" s="298"/>
      <c r="P91" s="298"/>
      <c r="Q91" s="299"/>
      <c r="R91" s="299"/>
      <c r="S91" s="299"/>
      <c r="T91" s="299"/>
      <c r="U91" s="299"/>
      <c r="V91" s="298"/>
    </row>
    <row r="92" spans="2:22" s="289" customFormat="1" ht="16.5" customHeight="1" x14ac:dyDescent="0.3">
      <c r="C92" s="288" t="s">
        <v>446</v>
      </c>
      <c r="D92" s="297"/>
      <c r="E92" s="299"/>
      <c r="F92" s="292"/>
      <c r="G92" s="297"/>
      <c r="H92" s="298"/>
      <c r="I92" s="297"/>
      <c r="J92" s="298"/>
      <c r="K92" s="298"/>
      <c r="L92" s="297"/>
      <c r="M92" s="297"/>
      <c r="N92" s="298"/>
      <c r="O92" s="298"/>
      <c r="P92" s="298"/>
      <c r="Q92" s="299"/>
      <c r="R92" s="299"/>
      <c r="S92" s="299"/>
      <c r="T92" s="299"/>
      <c r="U92" s="299"/>
      <c r="V92" s="298"/>
    </row>
    <row r="93" spans="2:22" s="289" customFormat="1" ht="16.5" customHeight="1" x14ac:dyDescent="0.3">
      <c r="C93" s="289" t="s">
        <v>447</v>
      </c>
      <c r="D93" s="297"/>
      <c r="E93" s="298"/>
      <c r="F93" s="298"/>
      <c r="G93" s="298"/>
      <c r="H93" s="298"/>
      <c r="I93" s="298"/>
      <c r="J93" s="298"/>
      <c r="K93" s="298"/>
      <c r="L93" s="298"/>
      <c r="M93" s="298"/>
      <c r="N93" s="298"/>
      <c r="O93" s="298"/>
      <c r="P93" s="298"/>
      <c r="Q93" s="298"/>
      <c r="R93" s="298"/>
      <c r="S93" s="298"/>
      <c r="T93" s="298"/>
      <c r="U93" s="298"/>
      <c r="V93" s="298"/>
    </row>
    <row r="94" spans="2:22" s="289" customFormat="1" ht="16.5" customHeight="1" x14ac:dyDescent="0.3">
      <c r="C94" s="289" t="s">
        <v>448</v>
      </c>
      <c r="D94" s="298"/>
      <c r="E94" s="298"/>
      <c r="F94" s="298"/>
      <c r="G94" s="297"/>
      <c r="H94" s="298"/>
      <c r="I94" s="298"/>
      <c r="J94" s="298"/>
      <c r="K94" s="298"/>
      <c r="L94" s="298"/>
      <c r="M94" s="298"/>
      <c r="N94" s="298"/>
      <c r="O94" s="298"/>
      <c r="P94" s="298"/>
      <c r="Q94" s="298"/>
      <c r="R94" s="298"/>
      <c r="S94" s="298"/>
      <c r="T94" s="298"/>
      <c r="U94" s="298"/>
      <c r="V94" s="298"/>
    </row>
    <row r="95" spans="2:22" s="289" customFormat="1" ht="16.5" customHeight="1" x14ac:dyDescent="0.3">
      <c r="C95" s="289" t="s">
        <v>449</v>
      </c>
      <c r="D95" s="298"/>
      <c r="E95" s="298"/>
      <c r="F95" s="298"/>
      <c r="G95" s="298"/>
      <c r="H95" s="298"/>
      <c r="I95" s="298"/>
      <c r="J95" s="298"/>
      <c r="K95" s="298"/>
      <c r="L95" s="297"/>
      <c r="M95" s="298"/>
      <c r="N95" s="298"/>
      <c r="O95" s="298"/>
      <c r="P95" s="298"/>
      <c r="Q95" s="298"/>
      <c r="R95" s="298"/>
      <c r="S95" s="298"/>
      <c r="T95" s="298"/>
      <c r="U95" s="298"/>
      <c r="V95" s="298"/>
    </row>
    <row r="96" spans="2:22" s="289" customFormat="1" ht="16.5" customHeight="1" x14ac:dyDescent="0.3">
      <c r="C96" s="289" t="s">
        <v>450</v>
      </c>
      <c r="D96" s="298"/>
      <c r="E96" s="298"/>
      <c r="F96" s="298"/>
      <c r="G96" s="298"/>
      <c r="H96" s="298"/>
      <c r="I96" s="298"/>
      <c r="J96" s="298"/>
      <c r="K96" s="298"/>
      <c r="L96" s="297"/>
      <c r="M96" s="298"/>
      <c r="N96" s="298"/>
      <c r="O96" s="298"/>
      <c r="P96" s="298"/>
      <c r="Q96" s="298"/>
      <c r="R96" s="298"/>
      <c r="S96" s="298"/>
      <c r="T96" s="298"/>
      <c r="U96" s="298"/>
      <c r="V96" s="298"/>
    </row>
    <row r="97" spans="2:22" s="289" customFormat="1" ht="16.5" customHeight="1" x14ac:dyDescent="0.3">
      <c r="C97" s="289" t="s">
        <v>451</v>
      </c>
      <c r="D97" s="298"/>
      <c r="E97" s="298"/>
      <c r="F97" s="298"/>
      <c r="G97" s="298"/>
      <c r="H97" s="298"/>
      <c r="I97" s="298"/>
      <c r="J97" s="298"/>
      <c r="K97" s="298"/>
      <c r="L97" s="297"/>
      <c r="M97" s="298"/>
      <c r="N97" s="298"/>
      <c r="O97" s="298"/>
      <c r="P97" s="298"/>
      <c r="Q97" s="298"/>
      <c r="R97" s="298"/>
      <c r="S97" s="298"/>
      <c r="T97" s="298"/>
      <c r="U97" s="298"/>
      <c r="V97" s="298"/>
    </row>
    <row r="98" spans="2:22" x14ac:dyDescent="0.3">
      <c r="B98" s="75" t="s">
        <v>282</v>
      </c>
      <c r="D98" s="310" t="s">
        <v>369</v>
      </c>
      <c r="E98" s="310" t="s">
        <v>369</v>
      </c>
      <c r="F98" s="310" t="s">
        <v>371</v>
      </c>
      <c r="G98" s="310" t="s">
        <v>371</v>
      </c>
      <c r="H98" s="310" t="s">
        <v>375</v>
      </c>
      <c r="I98" s="310" t="s">
        <v>375</v>
      </c>
      <c r="J98" s="310" t="s">
        <v>370</v>
      </c>
      <c r="K98" s="310" t="s">
        <v>371</v>
      </c>
      <c r="L98" s="310" t="s">
        <v>369</v>
      </c>
      <c r="M98" s="310" t="s">
        <v>375</v>
      </c>
      <c r="N98" s="308" t="s">
        <v>373</v>
      </c>
      <c r="O98" s="310" t="s">
        <v>371</v>
      </c>
      <c r="P98" s="310" t="s">
        <v>371</v>
      </c>
      <c r="Q98" s="308" t="s">
        <v>379</v>
      </c>
      <c r="R98" s="308" t="s">
        <v>367</v>
      </c>
      <c r="S98" s="308" t="s">
        <v>376</v>
      </c>
      <c r="T98" s="308" t="s">
        <v>379</v>
      </c>
      <c r="U98" s="308" t="s">
        <v>379</v>
      </c>
      <c r="V98" s="308" t="s">
        <v>412</v>
      </c>
    </row>
    <row r="99" spans="2:22" x14ac:dyDescent="0.3">
      <c r="C99" s="269" t="s">
        <v>383</v>
      </c>
      <c r="D99" s="311"/>
      <c r="E99" s="311"/>
      <c r="F99" s="311"/>
      <c r="G99" s="311"/>
      <c r="H99" s="311"/>
      <c r="I99" s="311"/>
      <c r="J99" s="311"/>
      <c r="K99" s="311"/>
      <c r="L99" s="311"/>
      <c r="M99" s="311"/>
      <c r="N99" s="309"/>
      <c r="O99" s="311"/>
      <c r="P99" s="311"/>
      <c r="Q99" s="309"/>
      <c r="R99" s="309"/>
      <c r="S99" s="309"/>
      <c r="T99" s="309"/>
      <c r="U99" s="309"/>
      <c r="V99" s="309"/>
    </row>
    <row r="100" spans="2:22" x14ac:dyDescent="0.3">
      <c r="B100" s="78"/>
      <c r="C100" s="289" t="s">
        <v>283</v>
      </c>
      <c r="D100" s="295"/>
      <c r="E100" s="293"/>
      <c r="F100" s="293"/>
      <c r="G100" s="292"/>
      <c r="H100" s="292"/>
      <c r="I100" s="291"/>
      <c r="J100" s="291"/>
      <c r="K100" s="292"/>
      <c r="L100" s="291"/>
      <c r="M100" s="291"/>
      <c r="N100" s="255"/>
      <c r="O100" s="255"/>
      <c r="P100" s="255"/>
      <c r="Q100" s="254"/>
      <c r="R100" s="254"/>
      <c r="S100" s="254"/>
      <c r="T100" s="254"/>
      <c r="U100" s="254"/>
      <c r="V100" s="254"/>
    </row>
    <row r="101" spans="2:22" x14ac:dyDescent="0.3">
      <c r="B101" s="78"/>
      <c r="C101" s="289" t="s">
        <v>227</v>
      </c>
      <c r="D101" s="292"/>
      <c r="E101" s="292"/>
      <c r="F101" s="293"/>
      <c r="G101" s="291"/>
      <c r="H101" s="291"/>
      <c r="I101" s="291"/>
      <c r="J101" s="291"/>
      <c r="K101" s="291"/>
      <c r="L101" s="291"/>
      <c r="M101" s="291"/>
      <c r="N101" s="255"/>
      <c r="O101" s="255"/>
      <c r="P101" s="262"/>
      <c r="Q101" s="254"/>
      <c r="R101" s="254"/>
      <c r="S101" s="254"/>
      <c r="T101" s="254"/>
      <c r="U101" s="254"/>
      <c r="V101" s="254"/>
    </row>
    <row r="102" spans="2:22" x14ac:dyDescent="0.3">
      <c r="B102" s="78"/>
      <c r="C102" s="289" t="s">
        <v>284</v>
      </c>
      <c r="D102" s="292"/>
      <c r="E102" s="292"/>
      <c r="F102" s="293"/>
      <c r="G102" s="291"/>
      <c r="H102" s="292"/>
      <c r="I102" s="291"/>
      <c r="J102" s="291"/>
      <c r="K102" s="291"/>
      <c r="L102" s="292"/>
      <c r="M102" s="291"/>
      <c r="N102" s="255"/>
      <c r="O102" s="262"/>
      <c r="P102" s="262"/>
      <c r="Q102" s="254"/>
      <c r="R102" s="254"/>
      <c r="S102" s="254"/>
      <c r="T102" s="254"/>
      <c r="U102" s="254"/>
      <c r="V102" s="254"/>
    </row>
    <row r="103" spans="2:22" x14ac:dyDescent="0.3">
      <c r="B103" s="78"/>
      <c r="C103" s="289" t="s">
        <v>285</v>
      </c>
      <c r="D103" s="295"/>
      <c r="E103" s="292"/>
      <c r="F103" s="293"/>
      <c r="G103" s="291"/>
      <c r="H103" s="291"/>
      <c r="I103" s="291"/>
      <c r="J103" s="291"/>
      <c r="K103" s="291"/>
      <c r="L103" s="291"/>
      <c r="M103" s="291"/>
      <c r="N103" s="255"/>
      <c r="O103" s="262"/>
      <c r="P103" s="262"/>
      <c r="Q103" s="254"/>
      <c r="R103" s="254"/>
      <c r="S103" s="254"/>
      <c r="T103" s="254"/>
      <c r="U103" s="254"/>
      <c r="V103" s="254"/>
    </row>
    <row r="104" spans="2:22" x14ac:dyDescent="0.3">
      <c r="B104" s="78"/>
      <c r="C104" s="289" t="s">
        <v>228</v>
      </c>
      <c r="D104" s="292"/>
      <c r="E104" s="293"/>
      <c r="F104" s="293"/>
      <c r="G104" s="291"/>
      <c r="H104" s="291"/>
      <c r="I104" s="291"/>
      <c r="J104" s="291"/>
      <c r="K104" s="291"/>
      <c r="L104" s="291"/>
      <c r="M104" s="291"/>
      <c r="N104" s="255"/>
      <c r="O104" s="262"/>
      <c r="P104" s="262"/>
      <c r="Q104" s="254"/>
      <c r="R104" s="254"/>
      <c r="S104" s="254"/>
      <c r="T104" s="254"/>
      <c r="U104" s="254"/>
      <c r="V104" s="254"/>
    </row>
    <row r="105" spans="2:22" x14ac:dyDescent="0.3">
      <c r="B105" s="78"/>
      <c r="C105" s="289" t="s">
        <v>229</v>
      </c>
      <c r="D105" s="292"/>
      <c r="E105" s="292"/>
      <c r="F105" s="292"/>
      <c r="G105" s="292"/>
      <c r="H105" s="291"/>
      <c r="I105" s="291"/>
      <c r="J105" s="291"/>
      <c r="K105" s="292"/>
      <c r="L105" s="291"/>
      <c r="M105" s="291"/>
      <c r="N105" s="255"/>
      <c r="O105" s="255"/>
      <c r="P105" s="255"/>
      <c r="Q105" s="254"/>
      <c r="R105" s="254"/>
      <c r="S105" s="254"/>
      <c r="T105" s="254"/>
      <c r="U105" s="254"/>
      <c r="V105" s="254"/>
    </row>
    <row r="106" spans="2:22" x14ac:dyDescent="0.3">
      <c r="B106" s="78"/>
      <c r="C106" s="289" t="s">
        <v>384</v>
      </c>
      <c r="D106" s="295"/>
      <c r="E106" s="292"/>
      <c r="F106" s="291"/>
      <c r="G106" s="291"/>
      <c r="H106" s="291"/>
      <c r="I106" s="291"/>
      <c r="J106" s="291"/>
      <c r="K106" s="291"/>
      <c r="L106" s="291"/>
      <c r="M106" s="291"/>
      <c r="N106" s="262"/>
      <c r="O106" s="262"/>
      <c r="P106" s="262"/>
      <c r="Q106" s="255"/>
      <c r="R106" s="255"/>
      <c r="S106" s="255"/>
      <c r="T106" s="254"/>
      <c r="U106" s="254"/>
      <c r="V106" s="254"/>
    </row>
    <row r="107" spans="2:22" x14ac:dyDescent="0.3">
      <c r="B107" s="78"/>
      <c r="C107" s="289" t="s">
        <v>230</v>
      </c>
      <c r="D107" s="292"/>
      <c r="E107" s="292"/>
      <c r="F107" s="292"/>
      <c r="G107" s="291"/>
      <c r="H107" s="291"/>
      <c r="I107" s="291"/>
      <c r="J107" s="291"/>
      <c r="K107" s="291"/>
      <c r="L107" s="291"/>
      <c r="M107" s="291"/>
      <c r="N107" s="255"/>
      <c r="O107" s="262"/>
      <c r="P107" s="262"/>
      <c r="Q107" s="255"/>
      <c r="R107" s="255"/>
      <c r="S107" s="255"/>
      <c r="T107" s="254"/>
      <c r="U107" s="254"/>
      <c r="V107" s="254"/>
    </row>
    <row r="108" spans="2:22" x14ac:dyDescent="0.3">
      <c r="B108" s="78"/>
      <c r="C108" s="77" t="s">
        <v>286</v>
      </c>
      <c r="D108" s="295"/>
      <c r="E108" s="293"/>
      <c r="F108" s="293"/>
      <c r="G108" s="291"/>
      <c r="H108" s="291"/>
      <c r="I108" s="292"/>
      <c r="J108" s="292"/>
      <c r="K108" s="291"/>
      <c r="L108" s="291"/>
      <c r="M108" s="291"/>
      <c r="N108" s="262"/>
      <c r="O108" s="262"/>
      <c r="P108" s="262"/>
      <c r="Q108" s="254"/>
      <c r="R108" s="254"/>
      <c r="S108" s="254"/>
      <c r="T108" s="254"/>
      <c r="U108" s="254"/>
      <c r="V108" s="254"/>
    </row>
    <row r="109" spans="2:22" s="77" customFormat="1" x14ac:dyDescent="0.3">
      <c r="B109" s="78"/>
      <c r="C109" s="77" t="s">
        <v>402</v>
      </c>
      <c r="D109" s="295"/>
      <c r="E109" s="291"/>
      <c r="F109" s="291"/>
      <c r="G109" s="291"/>
      <c r="H109" s="291"/>
      <c r="I109" s="291"/>
      <c r="J109" s="291"/>
      <c r="K109" s="291"/>
      <c r="L109" s="291"/>
      <c r="M109" s="292"/>
      <c r="N109" s="255"/>
      <c r="O109" s="262"/>
      <c r="P109" s="262"/>
      <c r="Q109" s="262"/>
      <c r="R109" s="262"/>
      <c r="S109" s="262"/>
      <c r="T109" s="262"/>
      <c r="U109" s="262"/>
      <c r="V109" s="262"/>
    </row>
    <row r="110" spans="2:22" x14ac:dyDescent="0.3">
      <c r="B110" s="78"/>
      <c r="C110" s="77" t="s">
        <v>287</v>
      </c>
      <c r="D110" s="293"/>
      <c r="E110" s="293"/>
      <c r="F110" s="293"/>
      <c r="G110" s="291"/>
      <c r="H110" s="292"/>
      <c r="I110" s="292"/>
      <c r="J110" s="292"/>
      <c r="K110" s="291"/>
      <c r="L110" s="292"/>
      <c r="M110" s="291"/>
      <c r="N110" s="255"/>
      <c r="O110" s="262"/>
      <c r="P110" s="262"/>
      <c r="Q110" s="254"/>
      <c r="R110" s="254"/>
      <c r="S110" s="254"/>
      <c r="T110" s="254"/>
      <c r="U110" s="254"/>
      <c r="V110" s="254"/>
    </row>
    <row r="111" spans="2:22" x14ac:dyDescent="0.3">
      <c r="B111" s="78"/>
      <c r="C111" s="77" t="s">
        <v>288</v>
      </c>
      <c r="D111" s="293"/>
      <c r="E111" s="293"/>
      <c r="F111" s="293"/>
      <c r="G111" s="291"/>
      <c r="H111" s="291"/>
      <c r="I111" s="292"/>
      <c r="J111" s="292"/>
      <c r="K111" s="291"/>
      <c r="L111" s="291"/>
      <c r="M111" s="291"/>
      <c r="N111" s="255"/>
      <c r="O111" s="255"/>
      <c r="P111" s="262"/>
      <c r="Q111" s="255"/>
      <c r="R111" s="255"/>
      <c r="S111" s="255"/>
      <c r="T111" s="255"/>
      <c r="U111" s="255"/>
      <c r="V111" s="262"/>
    </row>
    <row r="112" spans="2:22" x14ac:dyDescent="0.3">
      <c r="B112" s="78"/>
      <c r="C112" s="77" t="s">
        <v>385</v>
      </c>
      <c r="D112" s="293"/>
      <c r="E112" s="293"/>
      <c r="F112" s="293"/>
      <c r="G112" s="291"/>
      <c r="H112" s="291"/>
      <c r="I112" s="292"/>
      <c r="J112" s="291"/>
      <c r="K112" s="291"/>
      <c r="L112" s="291"/>
      <c r="M112" s="291"/>
      <c r="N112" s="262"/>
      <c r="O112" s="255"/>
      <c r="P112" s="262"/>
      <c r="Q112" s="255"/>
      <c r="R112" s="255"/>
      <c r="S112" s="276"/>
      <c r="T112" s="255"/>
      <c r="U112" s="255"/>
      <c r="V112" s="262"/>
    </row>
    <row r="113" spans="2:22" x14ac:dyDescent="0.3">
      <c r="B113" s="78"/>
      <c r="C113" s="77" t="s">
        <v>231</v>
      </c>
      <c r="D113" s="292"/>
      <c r="E113" s="293"/>
      <c r="F113" s="292"/>
      <c r="G113" s="291"/>
      <c r="H113" s="291"/>
      <c r="I113" s="291"/>
      <c r="J113" s="291"/>
      <c r="K113" s="291"/>
      <c r="L113" s="291"/>
      <c r="M113" s="291"/>
      <c r="N113" s="255"/>
      <c r="O113" s="255"/>
      <c r="P113" s="262"/>
      <c r="Q113" s="254"/>
      <c r="R113" s="254"/>
      <c r="S113" s="277"/>
      <c r="T113" s="254"/>
      <c r="U113" s="254"/>
      <c r="V113" s="254"/>
    </row>
    <row r="114" spans="2:22" x14ac:dyDescent="0.3">
      <c r="B114" s="78"/>
      <c r="C114" s="77" t="s">
        <v>232</v>
      </c>
      <c r="D114" s="293"/>
      <c r="E114" s="293"/>
      <c r="F114" s="288"/>
      <c r="G114" s="291"/>
      <c r="H114" s="291"/>
      <c r="I114" s="291"/>
      <c r="J114" s="291"/>
      <c r="K114" s="291"/>
      <c r="L114" s="291"/>
      <c r="M114" s="291"/>
      <c r="N114" s="262"/>
      <c r="O114" s="262"/>
      <c r="P114" s="262"/>
      <c r="Q114" s="255"/>
      <c r="R114" s="255"/>
      <c r="S114" s="276"/>
      <c r="T114" s="254"/>
      <c r="U114" s="254"/>
      <c r="V114" s="254"/>
    </row>
    <row r="115" spans="2:22" x14ac:dyDescent="0.3">
      <c r="B115" s="78"/>
      <c r="C115" s="77" t="s">
        <v>233</v>
      </c>
      <c r="D115" s="292"/>
      <c r="E115" s="293"/>
      <c r="F115" s="292"/>
      <c r="G115" s="291"/>
      <c r="H115" s="291"/>
      <c r="I115" s="291"/>
      <c r="J115" s="291"/>
      <c r="K115" s="291"/>
      <c r="L115" s="291"/>
      <c r="M115" s="291"/>
      <c r="N115" s="255"/>
      <c r="O115" s="262"/>
      <c r="P115" s="262"/>
      <c r="Q115" s="254"/>
      <c r="R115" s="254"/>
      <c r="S115" s="277"/>
      <c r="T115" s="254"/>
      <c r="U115" s="254"/>
      <c r="V115" s="254"/>
    </row>
    <row r="116" spans="2:22" x14ac:dyDescent="0.3">
      <c r="B116" s="78"/>
      <c r="C116" s="77" t="s">
        <v>234</v>
      </c>
      <c r="D116" s="292"/>
      <c r="E116" s="293"/>
      <c r="F116" s="292"/>
      <c r="G116" s="291"/>
      <c r="H116" s="292"/>
      <c r="I116" s="291"/>
      <c r="J116" s="291"/>
      <c r="K116" s="291"/>
      <c r="L116" s="292"/>
      <c r="M116" s="291"/>
      <c r="N116" s="262"/>
      <c r="O116" s="262"/>
      <c r="P116" s="262"/>
      <c r="Q116" s="255"/>
      <c r="R116" s="255"/>
      <c r="S116" s="276"/>
      <c r="T116" s="255"/>
      <c r="U116" s="255"/>
      <c r="V116" s="255"/>
    </row>
    <row r="117" spans="2:22" x14ac:dyDescent="0.3">
      <c r="B117" s="78"/>
      <c r="C117" s="77" t="s">
        <v>235</v>
      </c>
      <c r="D117" s="292"/>
      <c r="E117" s="292"/>
      <c r="F117" s="292"/>
      <c r="G117" s="291"/>
      <c r="H117" s="292"/>
      <c r="I117" s="291"/>
      <c r="J117" s="291"/>
      <c r="K117" s="291"/>
      <c r="L117" s="292"/>
      <c r="M117" s="291"/>
      <c r="N117" s="262"/>
      <c r="O117" s="262"/>
      <c r="P117" s="262"/>
      <c r="Q117" s="255"/>
      <c r="R117" s="255"/>
      <c r="S117" s="255"/>
      <c r="T117" s="255"/>
      <c r="U117" s="255"/>
      <c r="V117" s="255"/>
    </row>
    <row r="118" spans="2:22" x14ac:dyDescent="0.3">
      <c r="B118" s="78"/>
      <c r="C118" s="77" t="s">
        <v>236</v>
      </c>
      <c r="D118" s="292"/>
      <c r="E118" s="292"/>
      <c r="F118" s="292"/>
      <c r="G118" s="292"/>
      <c r="H118" s="292"/>
      <c r="I118" s="291"/>
      <c r="J118" s="291"/>
      <c r="K118" s="292"/>
      <c r="L118" s="292"/>
      <c r="M118" s="291"/>
      <c r="N118" s="255"/>
      <c r="O118" s="255"/>
      <c r="P118" s="262"/>
      <c r="Q118" s="255"/>
      <c r="R118" s="255"/>
      <c r="S118" s="255"/>
      <c r="T118" s="255"/>
      <c r="U118" s="255"/>
      <c r="V118" s="255"/>
    </row>
    <row r="119" spans="2:22" x14ac:dyDescent="0.3">
      <c r="B119" s="76"/>
      <c r="C119" s="77" t="s">
        <v>289</v>
      </c>
      <c r="D119" s="292"/>
      <c r="E119" s="293"/>
      <c r="F119" s="291"/>
      <c r="G119" s="292"/>
      <c r="H119" s="292"/>
      <c r="I119" s="292"/>
      <c r="J119" s="291"/>
      <c r="K119" s="292"/>
      <c r="L119" s="292"/>
      <c r="M119" s="291"/>
      <c r="N119" s="262"/>
      <c r="O119" s="255"/>
      <c r="P119" s="255"/>
      <c r="Q119" s="255"/>
      <c r="R119" s="255"/>
      <c r="S119" s="255"/>
      <c r="T119" s="262"/>
      <c r="V119" s="255"/>
    </row>
    <row r="120" spans="2:22" x14ac:dyDescent="0.3">
      <c r="C120" s="76" t="s">
        <v>411</v>
      </c>
      <c r="D120" s="254"/>
      <c r="E120" s="254"/>
      <c r="F120" s="254"/>
      <c r="G120" s="254"/>
      <c r="H120" s="262"/>
      <c r="I120" s="262"/>
      <c r="J120" s="262"/>
      <c r="K120" s="262"/>
      <c r="L120" s="262"/>
      <c r="M120" s="262"/>
      <c r="N120" s="262"/>
      <c r="O120" s="262"/>
      <c r="P120" s="262"/>
      <c r="Q120" s="254"/>
      <c r="R120" s="254"/>
      <c r="S120" s="254"/>
      <c r="T120" s="254"/>
      <c r="U120" s="254"/>
      <c r="V120" s="255"/>
    </row>
    <row r="121" spans="2:22" x14ac:dyDescent="0.3">
      <c r="C121" s="76" t="s">
        <v>442</v>
      </c>
      <c r="D121" s="254"/>
      <c r="E121" s="254"/>
      <c r="F121" s="254"/>
      <c r="G121" s="254"/>
      <c r="H121" s="254"/>
      <c r="I121" s="254"/>
      <c r="J121" s="254"/>
      <c r="K121" s="254"/>
      <c r="L121" s="254"/>
      <c r="M121" s="254"/>
      <c r="N121" s="254"/>
      <c r="O121" s="254"/>
      <c r="P121" s="254"/>
      <c r="Q121" s="254"/>
      <c r="R121" s="254"/>
      <c r="S121" s="254"/>
      <c r="T121" s="255"/>
      <c r="U121" s="255"/>
      <c r="V121" s="254"/>
    </row>
  </sheetData>
  <mergeCells count="61">
    <mergeCell ref="U4:U5"/>
    <mergeCell ref="S98:S99"/>
    <mergeCell ref="T98:T99"/>
    <mergeCell ref="U98:U99"/>
    <mergeCell ref="U49:U50"/>
    <mergeCell ref="R2:T2"/>
    <mergeCell ref="P4:P5"/>
    <mergeCell ref="Q4:Q5"/>
    <mergeCell ref="R4:R5"/>
    <mergeCell ref="D4:D5"/>
    <mergeCell ref="E4:E5"/>
    <mergeCell ref="F4:F5"/>
    <mergeCell ref="G4:G5"/>
    <mergeCell ref="H4:H5"/>
    <mergeCell ref="I4:I5"/>
    <mergeCell ref="J4:J5"/>
    <mergeCell ref="K4:K5"/>
    <mergeCell ref="L49:L50"/>
    <mergeCell ref="M49:M50"/>
    <mergeCell ref="N49:N50"/>
    <mergeCell ref="O49:O50"/>
    <mergeCell ref="D49:D50"/>
    <mergeCell ref="E49:E50"/>
    <mergeCell ref="F49:F50"/>
    <mergeCell ref="G49:G50"/>
    <mergeCell ref="H49:H50"/>
    <mergeCell ref="I49:I50"/>
    <mergeCell ref="J49:J50"/>
    <mergeCell ref="K49:K50"/>
    <mergeCell ref="D98:D99"/>
    <mergeCell ref="E98:E99"/>
    <mergeCell ref="F98:F99"/>
    <mergeCell ref="G98:G99"/>
    <mergeCell ref="H98:H99"/>
    <mergeCell ref="I98:I99"/>
    <mergeCell ref="J98:J99"/>
    <mergeCell ref="K98:K99"/>
    <mergeCell ref="L98:L99"/>
    <mergeCell ref="M98:M99"/>
    <mergeCell ref="V98:V99"/>
    <mergeCell ref="N98:N99"/>
    <mergeCell ref="O98:O99"/>
    <mergeCell ref="P98:P99"/>
    <mergeCell ref="Q98:Q99"/>
    <mergeCell ref="R98:R99"/>
    <mergeCell ref="E2:N2"/>
    <mergeCell ref="O2:Q2"/>
    <mergeCell ref="U2:W2"/>
    <mergeCell ref="V4:V5"/>
    <mergeCell ref="V49:V50"/>
    <mergeCell ref="P49:P50"/>
    <mergeCell ref="Q49:Q50"/>
    <mergeCell ref="R49:R50"/>
    <mergeCell ref="S49:S50"/>
    <mergeCell ref="T49:T50"/>
    <mergeCell ref="S4:S5"/>
    <mergeCell ref="T4:T5"/>
    <mergeCell ref="L4:L5"/>
    <mergeCell ref="M4:M5"/>
    <mergeCell ref="N4:N5"/>
    <mergeCell ref="O4: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showGridLines="0" topLeftCell="A16" workbookViewId="0">
      <selection activeCell="D22" sqref="D22"/>
    </sheetView>
  </sheetViews>
  <sheetFormatPr defaultColWidth="9.125" defaultRowHeight="15" x14ac:dyDescent="0.25"/>
  <cols>
    <col min="1" max="1" width="9.125" style="38"/>
    <col min="2" max="4" width="55.75" style="38" customWidth="1"/>
    <col min="5" max="16384" width="9.125" style="38"/>
  </cols>
  <sheetData>
    <row r="1" spans="2:4" ht="47.25" customHeight="1" x14ac:dyDescent="0.25">
      <c r="B1" s="264" t="s">
        <v>290</v>
      </c>
      <c r="C1" s="265" t="s">
        <v>291</v>
      </c>
      <c r="D1" s="265" t="s">
        <v>292</v>
      </c>
    </row>
    <row r="2" spans="2:4" ht="28.5" x14ac:dyDescent="0.25">
      <c r="B2" s="266" t="s">
        <v>293</v>
      </c>
      <c r="C2" s="266" t="s">
        <v>294</v>
      </c>
      <c r="D2" s="266" t="s">
        <v>295</v>
      </c>
    </row>
    <row r="3" spans="2:4" ht="42.75" x14ac:dyDescent="0.25">
      <c r="B3" s="266" t="s">
        <v>296</v>
      </c>
      <c r="C3" s="266" t="s">
        <v>297</v>
      </c>
      <c r="D3" s="266" t="s">
        <v>298</v>
      </c>
    </row>
    <row r="4" spans="2:4" ht="57" x14ac:dyDescent="0.25">
      <c r="B4" s="267" t="s">
        <v>162</v>
      </c>
      <c r="C4" s="266" t="s">
        <v>299</v>
      </c>
      <c r="D4" s="266" t="s">
        <v>300</v>
      </c>
    </row>
    <row r="5" spans="2:4" ht="71.25" x14ac:dyDescent="0.25">
      <c r="B5" s="267" t="s">
        <v>163</v>
      </c>
      <c r="C5" s="266" t="s">
        <v>301</v>
      </c>
      <c r="D5" s="266" t="s">
        <v>302</v>
      </c>
    </row>
    <row r="6" spans="2:4" ht="57" x14ac:dyDescent="0.25">
      <c r="B6" s="267" t="s">
        <v>390</v>
      </c>
      <c r="C6" s="266" t="s">
        <v>392</v>
      </c>
      <c r="D6" s="266" t="s">
        <v>393</v>
      </c>
    </row>
    <row r="7" spans="2:4" ht="42.75" x14ac:dyDescent="0.25">
      <c r="B7" s="267" t="s">
        <v>151</v>
      </c>
      <c r="C7" s="266" t="s">
        <v>303</v>
      </c>
      <c r="D7" s="266" t="s">
        <v>304</v>
      </c>
    </row>
    <row r="8" spans="2:4" ht="42.75" x14ac:dyDescent="0.25">
      <c r="B8" s="267" t="s">
        <v>97</v>
      </c>
      <c r="C8" s="266" t="s">
        <v>305</v>
      </c>
      <c r="D8" s="266" t="s">
        <v>306</v>
      </c>
    </row>
    <row r="9" spans="2:4" ht="57" x14ac:dyDescent="0.25">
      <c r="B9" s="267" t="s">
        <v>158</v>
      </c>
      <c r="C9" s="266" t="s">
        <v>307</v>
      </c>
      <c r="D9" s="266" t="s">
        <v>308</v>
      </c>
    </row>
    <row r="10" spans="2:4" x14ac:dyDescent="0.25">
      <c r="B10" s="267" t="s">
        <v>246</v>
      </c>
      <c r="C10" s="266" t="s">
        <v>309</v>
      </c>
      <c r="D10" s="266" t="s">
        <v>310</v>
      </c>
    </row>
    <row r="11" spans="2:4" x14ac:dyDescent="0.25">
      <c r="B11" s="267" t="s">
        <v>247</v>
      </c>
      <c r="C11" s="266" t="s">
        <v>311</v>
      </c>
      <c r="D11" s="266" t="s">
        <v>310</v>
      </c>
    </row>
    <row r="12" spans="2:4" x14ac:dyDescent="0.25">
      <c r="B12" s="267" t="s">
        <v>248</v>
      </c>
      <c r="C12" s="266" t="s">
        <v>312</v>
      </c>
      <c r="D12" s="266" t="s">
        <v>310</v>
      </c>
    </row>
    <row r="13" spans="2:4" ht="28.5" x14ac:dyDescent="0.25">
      <c r="B13" s="267" t="s">
        <v>391</v>
      </c>
      <c r="C13" s="266" t="s">
        <v>394</v>
      </c>
      <c r="D13" s="266" t="s">
        <v>395</v>
      </c>
    </row>
    <row r="14" spans="2:4" ht="42.75" x14ac:dyDescent="0.25">
      <c r="B14" s="267" t="s">
        <v>159</v>
      </c>
      <c r="C14" s="266" t="s">
        <v>313</v>
      </c>
      <c r="D14" s="266" t="s">
        <v>314</v>
      </c>
    </row>
    <row r="15" spans="2:4" ht="57" x14ac:dyDescent="0.25">
      <c r="B15" s="267" t="s">
        <v>135</v>
      </c>
      <c r="C15" s="266" t="s">
        <v>315</v>
      </c>
      <c r="D15" s="266" t="s">
        <v>316</v>
      </c>
    </row>
    <row r="16" spans="2:4" ht="42.75" x14ac:dyDescent="0.25">
      <c r="B16" s="267" t="s">
        <v>317</v>
      </c>
      <c r="C16" s="266" t="s">
        <v>318</v>
      </c>
      <c r="D16" s="266" t="s">
        <v>319</v>
      </c>
    </row>
    <row r="17" spans="2:4" ht="42.75" x14ac:dyDescent="0.25">
      <c r="B17" s="266" t="s">
        <v>320</v>
      </c>
      <c r="C17" s="266" t="s">
        <v>321</v>
      </c>
      <c r="D17" s="266" t="s">
        <v>322</v>
      </c>
    </row>
    <row r="18" spans="2:4" ht="42.75" x14ac:dyDescent="0.25">
      <c r="B18" s="266" t="s">
        <v>323</v>
      </c>
      <c r="C18" s="266" t="s">
        <v>324</v>
      </c>
      <c r="D18" s="266" t="s">
        <v>325</v>
      </c>
    </row>
    <row r="19" spans="2:4" ht="42.75" x14ac:dyDescent="0.25">
      <c r="B19" s="266" t="s">
        <v>326</v>
      </c>
      <c r="C19" s="266" t="s">
        <v>327</v>
      </c>
      <c r="D19" s="266" t="s">
        <v>328</v>
      </c>
    </row>
    <row r="20" spans="2:4" ht="58.5" x14ac:dyDescent="0.25">
      <c r="B20" s="266" t="s">
        <v>329</v>
      </c>
      <c r="C20" s="266" t="s">
        <v>330</v>
      </c>
      <c r="D20" s="266" t="s">
        <v>331</v>
      </c>
    </row>
    <row r="21" spans="2:4" ht="28.5" x14ac:dyDescent="0.25">
      <c r="B21" s="266" t="s">
        <v>386</v>
      </c>
      <c r="C21" s="266" t="s">
        <v>332</v>
      </c>
      <c r="D21" s="266" t="s">
        <v>333</v>
      </c>
    </row>
    <row r="22" spans="2:4" ht="28.5" x14ac:dyDescent="0.25">
      <c r="B22" s="266" t="s">
        <v>334</v>
      </c>
      <c r="C22" s="266" t="s">
        <v>335</v>
      </c>
      <c r="D22" s="266" t="s">
        <v>336</v>
      </c>
    </row>
    <row r="23" spans="2:4" ht="71.25" x14ac:dyDescent="0.25">
      <c r="B23" s="266" t="s">
        <v>337</v>
      </c>
      <c r="C23" s="266" t="s">
        <v>338</v>
      </c>
      <c r="D23" s="266" t="s">
        <v>339</v>
      </c>
    </row>
    <row r="24" spans="2:4" ht="71.25" x14ac:dyDescent="0.25">
      <c r="B24" s="266" t="s">
        <v>340</v>
      </c>
      <c r="C24" s="266" t="s">
        <v>341</v>
      </c>
      <c r="D24" s="266" t="s">
        <v>342</v>
      </c>
    </row>
    <row r="25" spans="2:4" ht="42.75" x14ac:dyDescent="0.25">
      <c r="B25" s="266" t="s">
        <v>343</v>
      </c>
      <c r="C25" s="266" t="s">
        <v>344</v>
      </c>
      <c r="D25" s="266" t="s">
        <v>345</v>
      </c>
    </row>
    <row r="26" spans="2:4" ht="57" x14ac:dyDescent="0.25">
      <c r="B26" s="266" t="s">
        <v>346</v>
      </c>
      <c r="C26" s="266" t="s">
        <v>347</v>
      </c>
      <c r="D26" s="266" t="s">
        <v>348</v>
      </c>
    </row>
    <row r="27" spans="2:4" ht="71.25" x14ac:dyDescent="0.25">
      <c r="B27" s="266" t="s">
        <v>156</v>
      </c>
      <c r="C27" s="266" t="s">
        <v>349</v>
      </c>
      <c r="D27" s="266" t="s">
        <v>350</v>
      </c>
    </row>
    <row r="28" spans="2:4" ht="57" x14ac:dyDescent="0.25">
      <c r="B28" s="266" t="s">
        <v>351</v>
      </c>
      <c r="C28" s="266" t="s">
        <v>352</v>
      </c>
      <c r="D28" s="266" t="s">
        <v>353</v>
      </c>
    </row>
    <row r="29" spans="2:4" ht="57" x14ac:dyDescent="0.25">
      <c r="B29" s="266" t="s">
        <v>354</v>
      </c>
      <c r="C29" s="266" t="s">
        <v>355</v>
      </c>
      <c r="D29" s="266" t="s">
        <v>353</v>
      </c>
    </row>
    <row r="30" spans="2:4" ht="57" x14ac:dyDescent="0.25">
      <c r="B30" s="266" t="s">
        <v>88</v>
      </c>
      <c r="C30" s="266" t="s">
        <v>356</v>
      </c>
      <c r="D30" s="266" t="s">
        <v>353</v>
      </c>
    </row>
    <row r="31" spans="2:4" ht="42.75" x14ac:dyDescent="0.25">
      <c r="B31" s="266" t="s">
        <v>113</v>
      </c>
      <c r="C31" s="266" t="s">
        <v>357</v>
      </c>
      <c r="D31" s="266" t="s">
        <v>358</v>
      </c>
    </row>
    <row r="32" spans="2:4" ht="42.75" x14ac:dyDescent="0.25">
      <c r="B32" s="266" t="s">
        <v>136</v>
      </c>
      <c r="C32" s="266" t="s">
        <v>359</v>
      </c>
      <c r="D32" s="266" t="s">
        <v>360</v>
      </c>
    </row>
    <row r="33" spans="2:4" ht="42.75" x14ac:dyDescent="0.25">
      <c r="B33" s="266" t="s">
        <v>361</v>
      </c>
      <c r="C33" s="266" t="s">
        <v>362</v>
      </c>
      <c r="D33" s="266" t="s">
        <v>325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101"/>
  <sheetViews>
    <sheetView showGridLines="0" zoomScale="80" zoomScaleNormal="80" workbookViewId="0">
      <selection activeCell="H3" sqref="H3"/>
    </sheetView>
  </sheetViews>
  <sheetFormatPr defaultColWidth="9.125" defaultRowHeight="14.25" x14ac:dyDescent="0.25"/>
  <cols>
    <col min="1" max="1" width="1.875" style="79" customWidth="1"/>
    <col min="2" max="2" width="31.75" style="79" customWidth="1"/>
    <col min="3" max="3" width="17.125" style="79" customWidth="1"/>
    <col min="4" max="4" width="2.625" style="79" customWidth="1"/>
    <col min="5" max="5" width="0.75" style="79" customWidth="1"/>
    <col min="6" max="6" width="31.375" style="79" customWidth="1"/>
    <col min="7" max="7" width="15.75" style="79" customWidth="1"/>
    <col min="8" max="8" width="5.875" style="79" customWidth="1"/>
    <col min="9" max="9" width="10.625" style="79" customWidth="1"/>
    <col min="10" max="11" width="15.75" style="79" customWidth="1"/>
    <col min="12" max="12" width="5.125" style="79" customWidth="1"/>
    <col min="13" max="13" width="5.375" style="80" customWidth="1"/>
    <col min="14" max="14" width="4.75" style="79" customWidth="1"/>
    <col min="15" max="15" width="12.125" style="79" customWidth="1"/>
    <col min="16" max="19" width="14.75" style="79" customWidth="1"/>
    <col min="20" max="20" width="13.25" style="79" customWidth="1"/>
    <col min="21" max="21" width="12.125" style="79" customWidth="1"/>
    <col min="22" max="16384" width="9.125" style="79"/>
  </cols>
  <sheetData>
    <row r="1" spans="2:13" ht="6" customHeight="1" x14ac:dyDescent="0.25"/>
    <row r="2" spans="2:13" ht="17.25" customHeight="1" x14ac:dyDescent="0.25">
      <c r="B2" s="353" t="s">
        <v>207</v>
      </c>
      <c r="C2" s="353"/>
      <c r="D2" s="196"/>
      <c r="F2" s="342" t="s">
        <v>249</v>
      </c>
      <c r="G2" s="349">
        <v>80</v>
      </c>
      <c r="H2" s="195"/>
      <c r="I2" s="342" t="s">
        <v>196</v>
      </c>
      <c r="J2" s="347"/>
      <c r="K2" s="336">
        <v>25</v>
      </c>
      <c r="L2" s="214"/>
      <c r="M2" s="81"/>
    </row>
    <row r="3" spans="2:13" ht="9.75" customHeight="1" x14ac:dyDescent="0.25">
      <c r="B3" s="353"/>
      <c r="C3" s="353"/>
      <c r="D3" s="196"/>
      <c r="F3" s="323"/>
      <c r="G3" s="346"/>
      <c r="I3" s="322"/>
      <c r="J3" s="325"/>
      <c r="K3" s="337"/>
      <c r="L3" s="214"/>
      <c r="M3" s="87"/>
    </row>
    <row r="4" spans="2:13" ht="17.25" customHeight="1" x14ac:dyDescent="0.25">
      <c r="B4" s="353"/>
      <c r="C4" s="353"/>
      <c r="D4" s="196"/>
      <c r="F4" s="342" t="s">
        <v>250</v>
      </c>
      <c r="G4" s="349">
        <v>40</v>
      </c>
      <c r="H4" s="83"/>
      <c r="I4" s="323"/>
      <c r="J4" s="348"/>
      <c r="K4" s="338"/>
      <c r="L4" s="214"/>
      <c r="M4" s="87"/>
    </row>
    <row r="5" spans="2:13" ht="6.75" customHeight="1" x14ac:dyDescent="0.25">
      <c r="B5" s="256"/>
      <c r="C5" s="256"/>
      <c r="D5" s="196"/>
      <c r="F5" s="322"/>
      <c r="G5" s="345"/>
      <c r="H5" s="83"/>
      <c r="I5" s="198"/>
      <c r="J5" s="198"/>
      <c r="K5" s="260"/>
      <c r="L5" s="214"/>
      <c r="M5" s="87"/>
    </row>
    <row r="6" spans="2:13" ht="10.5" customHeight="1" x14ac:dyDescent="0.25">
      <c r="B6" s="210"/>
      <c r="C6" s="210"/>
      <c r="D6" s="196"/>
      <c r="F6" s="323"/>
      <c r="G6" s="346"/>
      <c r="H6" s="83"/>
      <c r="I6" s="325" t="s">
        <v>251</v>
      </c>
      <c r="J6" s="325"/>
      <c r="K6" s="325"/>
      <c r="L6" s="214"/>
      <c r="M6" s="87"/>
    </row>
    <row r="7" spans="2:13" ht="6.75" customHeight="1" x14ac:dyDescent="0.25">
      <c r="B7" s="342" t="s">
        <v>190</v>
      </c>
      <c r="C7" s="339">
        <v>50</v>
      </c>
      <c r="D7" s="196"/>
      <c r="H7" s="83"/>
      <c r="I7" s="325"/>
      <c r="J7" s="325"/>
      <c r="K7" s="325"/>
      <c r="L7" s="214"/>
      <c r="M7" s="87"/>
    </row>
    <row r="8" spans="2:13" ht="17.25" customHeight="1" x14ac:dyDescent="0.25">
      <c r="B8" s="322"/>
      <c r="C8" s="340"/>
      <c r="D8" s="196"/>
      <c r="F8" s="342" t="s">
        <v>195</v>
      </c>
      <c r="G8" s="336">
        <v>65</v>
      </c>
      <c r="I8" s="84"/>
      <c r="J8" s="82" t="s">
        <v>186</v>
      </c>
      <c r="K8" s="230">
        <v>5</v>
      </c>
      <c r="M8" s="87"/>
    </row>
    <row r="9" spans="2:13" ht="17.25" customHeight="1" x14ac:dyDescent="0.25">
      <c r="B9" s="323"/>
      <c r="C9" s="341"/>
      <c r="D9" s="196"/>
      <c r="F9" s="322"/>
      <c r="G9" s="337"/>
      <c r="I9" s="240"/>
      <c r="J9" s="95" t="s">
        <v>187</v>
      </c>
      <c r="K9" s="231">
        <v>1.5</v>
      </c>
      <c r="M9" s="87"/>
    </row>
    <row r="10" spans="2:13" ht="6" customHeight="1" x14ac:dyDescent="0.25">
      <c r="B10" s="210"/>
      <c r="C10" s="210"/>
      <c r="D10" s="196"/>
      <c r="F10" s="323"/>
      <c r="G10" s="338"/>
      <c r="M10" s="87"/>
    </row>
    <row r="11" spans="2:13" ht="8.25" customHeight="1" x14ac:dyDescent="0.25">
      <c r="B11" s="342" t="s">
        <v>191</v>
      </c>
      <c r="C11" s="339">
        <v>15</v>
      </c>
      <c r="D11" s="96"/>
      <c r="M11" s="87"/>
    </row>
    <row r="12" spans="2:13" ht="15.95" customHeight="1" x14ac:dyDescent="0.25">
      <c r="B12" s="322"/>
      <c r="C12" s="340"/>
      <c r="D12" s="96"/>
      <c r="F12" s="350" t="s">
        <v>197</v>
      </c>
      <c r="G12" s="205" t="s">
        <v>24</v>
      </c>
      <c r="H12" s="329" t="s">
        <v>11</v>
      </c>
      <c r="I12" s="329"/>
      <c r="J12" s="246" t="s">
        <v>12</v>
      </c>
      <c r="K12" s="207" t="s">
        <v>13</v>
      </c>
      <c r="L12" s="226"/>
      <c r="M12" s="87"/>
    </row>
    <row r="13" spans="2:13" ht="12" customHeight="1" x14ac:dyDescent="0.25">
      <c r="B13" s="323"/>
      <c r="C13" s="341"/>
      <c r="F13" s="351"/>
      <c r="G13" s="229">
        <v>15</v>
      </c>
      <c r="H13" s="352">
        <v>20</v>
      </c>
      <c r="I13" s="352"/>
      <c r="J13" s="245">
        <v>25</v>
      </c>
      <c r="K13" s="230">
        <v>30</v>
      </c>
      <c r="L13" s="248"/>
      <c r="M13" s="87"/>
    </row>
    <row r="14" spans="2:13" ht="13.5" customHeight="1" x14ac:dyDescent="0.25">
      <c r="D14" s="196"/>
      <c r="F14" s="321" t="s">
        <v>198</v>
      </c>
      <c r="G14" s="205" t="s">
        <v>24</v>
      </c>
      <c r="H14" s="329" t="s">
        <v>11</v>
      </c>
      <c r="I14" s="329"/>
      <c r="J14" s="246" t="s">
        <v>12</v>
      </c>
      <c r="K14" s="207" t="s">
        <v>13</v>
      </c>
      <c r="L14" s="226"/>
      <c r="M14" s="87"/>
    </row>
    <row r="15" spans="2:13" ht="17.25" customHeight="1" x14ac:dyDescent="0.25">
      <c r="B15" s="315" t="s">
        <v>252</v>
      </c>
      <c r="C15" s="316"/>
      <c r="D15" s="196"/>
      <c r="F15" s="322"/>
      <c r="G15" s="334">
        <f>P29*0.2</f>
        <v>499456.25</v>
      </c>
      <c r="H15" s="343">
        <f>Q29*0.2</f>
        <v>778560.41666666674</v>
      </c>
      <c r="I15" s="343"/>
      <c r="J15" s="343">
        <f>R29*0.15</f>
        <v>821989.06250000012</v>
      </c>
      <c r="K15" s="345">
        <f>S29*0.15</f>
        <v>1088407.8125</v>
      </c>
      <c r="L15" s="249"/>
      <c r="M15" s="87"/>
    </row>
    <row r="16" spans="2:13" ht="17.25" customHeight="1" x14ac:dyDescent="0.25">
      <c r="B16" s="317"/>
      <c r="C16" s="318"/>
      <c r="D16" s="196"/>
      <c r="F16" s="322"/>
      <c r="G16" s="335"/>
      <c r="H16" s="344"/>
      <c r="I16" s="344"/>
      <c r="J16" s="344"/>
      <c r="K16" s="346"/>
      <c r="L16" s="249"/>
      <c r="M16" s="87"/>
    </row>
    <row r="17" spans="2:19" ht="17.25" customHeight="1" x14ac:dyDescent="0.25">
      <c r="B17" s="82" t="s">
        <v>162</v>
      </c>
      <c r="C17" s="272">
        <v>20000</v>
      </c>
      <c r="D17" s="196"/>
      <c r="F17" s="321" t="s">
        <v>199</v>
      </c>
      <c r="G17" s="205" t="s">
        <v>24</v>
      </c>
      <c r="H17" s="201"/>
      <c r="I17" s="213" t="s">
        <v>11</v>
      </c>
      <c r="J17" s="246" t="s">
        <v>12</v>
      </c>
      <c r="K17" s="207" t="s">
        <v>13</v>
      </c>
      <c r="L17" s="226"/>
      <c r="M17" s="87"/>
    </row>
    <row r="18" spans="2:19" ht="16.5" customHeight="1" x14ac:dyDescent="0.25">
      <c r="B18" s="82" t="s">
        <v>163</v>
      </c>
      <c r="C18" s="272">
        <v>2500</v>
      </c>
      <c r="D18" s="196"/>
      <c r="F18" s="322"/>
      <c r="G18" s="330">
        <v>75000</v>
      </c>
      <c r="H18" s="332">
        <v>75000</v>
      </c>
      <c r="I18" s="332"/>
      <c r="J18" s="332">
        <v>75000</v>
      </c>
      <c r="K18" s="360">
        <v>75000</v>
      </c>
      <c r="L18" s="250"/>
      <c r="M18" s="87"/>
    </row>
    <row r="19" spans="2:19" ht="17.25" customHeight="1" x14ac:dyDescent="0.25">
      <c r="B19" s="82" t="s">
        <v>390</v>
      </c>
      <c r="C19" s="272">
        <v>2500</v>
      </c>
      <c r="D19" s="196"/>
      <c r="F19" s="323"/>
      <c r="G19" s="331"/>
      <c r="H19" s="333"/>
      <c r="I19" s="333"/>
      <c r="J19" s="333"/>
      <c r="K19" s="361"/>
      <c r="M19" s="87"/>
    </row>
    <row r="20" spans="2:19" ht="17.25" customHeight="1" x14ac:dyDescent="0.25">
      <c r="B20" s="82" t="s">
        <v>151</v>
      </c>
      <c r="C20" s="90">
        <v>4000</v>
      </c>
      <c r="D20" s="196"/>
      <c r="F20" s="197"/>
      <c r="G20" s="250"/>
      <c r="H20" s="250"/>
      <c r="I20" s="250"/>
      <c r="J20" s="250"/>
      <c r="K20" s="250"/>
      <c r="L20" s="250"/>
      <c r="M20" s="87"/>
    </row>
    <row r="21" spans="2:19" ht="17.25" customHeight="1" x14ac:dyDescent="0.25">
      <c r="B21" s="82" t="s">
        <v>97</v>
      </c>
      <c r="C21" s="270">
        <v>5</v>
      </c>
      <c r="D21" s="196"/>
      <c r="F21" s="324" t="s">
        <v>200</v>
      </c>
      <c r="G21" s="324"/>
      <c r="I21" s="324" t="s">
        <v>201</v>
      </c>
      <c r="J21" s="324"/>
      <c r="K21" s="324"/>
      <c r="M21" s="87"/>
    </row>
    <row r="22" spans="2:19" ht="17.25" customHeight="1" x14ac:dyDescent="0.25">
      <c r="B22" s="95" t="s">
        <v>158</v>
      </c>
      <c r="C22" s="271">
        <v>65</v>
      </c>
      <c r="D22" s="196"/>
      <c r="H22" s="110">
        <f>C57/100</f>
        <v>0.5</v>
      </c>
      <c r="L22" s="110">
        <f>C55/100</f>
        <v>0.5</v>
      </c>
      <c r="M22" s="87"/>
    </row>
    <row r="23" spans="2:19" ht="17.25" customHeight="1" x14ac:dyDescent="0.25">
      <c r="D23" s="196"/>
      <c r="M23" s="87"/>
    </row>
    <row r="24" spans="2:19" ht="17.25" customHeight="1" x14ac:dyDescent="0.25">
      <c r="B24" s="315" t="s">
        <v>253</v>
      </c>
      <c r="C24" s="316"/>
      <c r="D24" s="196"/>
      <c r="F24" s="325" t="s">
        <v>202</v>
      </c>
      <c r="G24" s="325"/>
      <c r="I24" s="324" t="s">
        <v>203</v>
      </c>
      <c r="J24" s="324"/>
      <c r="K24" s="324"/>
      <c r="M24" s="87"/>
    </row>
    <row r="25" spans="2:19" ht="17.25" customHeight="1" x14ac:dyDescent="0.25">
      <c r="B25" s="317"/>
      <c r="C25" s="318"/>
      <c r="D25" s="196"/>
      <c r="F25" s="325"/>
      <c r="G25" s="325"/>
      <c r="L25" s="110">
        <f>C56/100</f>
        <v>0.15</v>
      </c>
      <c r="M25" s="79"/>
    </row>
    <row r="26" spans="2:19" ht="16.5" x14ac:dyDescent="0.25">
      <c r="B26" s="82" t="s">
        <v>246</v>
      </c>
      <c r="C26" s="86">
        <v>0.2</v>
      </c>
      <c r="D26" s="196"/>
      <c r="H26" s="110">
        <f>C58/100</f>
        <v>0.5</v>
      </c>
      <c r="M26" s="79"/>
    </row>
    <row r="27" spans="2:19" ht="17.25" customHeight="1" x14ac:dyDescent="0.25">
      <c r="B27" s="82" t="s">
        <v>247</v>
      </c>
      <c r="C27" s="247">
        <v>0.2</v>
      </c>
      <c r="D27" s="196"/>
      <c r="I27" s="354" t="s">
        <v>161</v>
      </c>
      <c r="J27" s="355"/>
      <c r="K27" s="358">
        <f>L78</f>
        <v>5630996.0937500009</v>
      </c>
      <c r="L27" s="198"/>
      <c r="M27" s="326" t="s">
        <v>164</v>
      </c>
      <c r="N27" s="327"/>
      <c r="O27" s="327"/>
      <c r="P27" s="327"/>
      <c r="Q27" s="327"/>
      <c r="R27" s="327"/>
      <c r="S27" s="328"/>
    </row>
    <row r="28" spans="2:19" ht="17.25" customHeight="1" x14ac:dyDescent="0.25">
      <c r="B28" s="82" t="s">
        <v>248</v>
      </c>
      <c r="C28" s="247">
        <v>0.2</v>
      </c>
      <c r="D28" s="196"/>
      <c r="F28" s="325" t="s">
        <v>204</v>
      </c>
      <c r="G28" s="325"/>
      <c r="I28" s="356"/>
      <c r="J28" s="357"/>
      <c r="K28" s="359"/>
      <c r="L28" s="198"/>
      <c r="M28" s="241"/>
      <c r="N28" s="101"/>
      <c r="O28" s="101"/>
      <c r="P28" s="226" t="s">
        <v>24</v>
      </c>
      <c r="Q28" s="226" t="s">
        <v>11</v>
      </c>
      <c r="R28" s="226" t="s">
        <v>12</v>
      </c>
      <c r="S28" s="208" t="s">
        <v>13</v>
      </c>
    </row>
    <row r="29" spans="2:19" ht="17.25" customHeight="1" x14ac:dyDescent="0.25">
      <c r="B29" s="82" t="s">
        <v>391</v>
      </c>
      <c r="C29" s="247">
        <v>0.1</v>
      </c>
      <c r="D29" s="196"/>
      <c r="H29" s="113">
        <f>C59/100</f>
        <v>0.5</v>
      </c>
      <c r="L29" s="100"/>
      <c r="M29" s="241"/>
      <c r="N29" s="101"/>
      <c r="O29" s="232" t="s">
        <v>152</v>
      </c>
      <c r="P29" s="227">
        <f>'P&amp;L Detail'!G48</f>
        <v>2497281.25</v>
      </c>
      <c r="Q29" s="227">
        <f>'P&amp;L Detail'!I48</f>
        <v>3892802.0833333335</v>
      </c>
      <c r="R29" s="227">
        <f>'P&amp;L Detail'!K48</f>
        <v>5479927.083333334</v>
      </c>
      <c r="S29" s="114">
        <f>'P&amp;L Detail'!M48</f>
        <v>7256052.083333334</v>
      </c>
    </row>
    <row r="30" spans="2:19" ht="17.25" customHeight="1" x14ac:dyDescent="0.25">
      <c r="B30" s="82" t="s">
        <v>159</v>
      </c>
      <c r="C30" s="89">
        <v>0.35</v>
      </c>
      <c r="D30" s="196"/>
      <c r="L30" s="100"/>
      <c r="M30" s="242"/>
      <c r="N30" s="243"/>
      <c r="O30" s="233" t="s">
        <v>155</v>
      </c>
      <c r="P30" s="228">
        <f>'P&amp;L Detail'!G51</f>
        <v>-166425</v>
      </c>
      <c r="Q30" s="228">
        <f>'P&amp;L Detail'!I51</f>
        <v>-115698.43750000047</v>
      </c>
      <c r="R30" s="228">
        <f>'P&amp;L Detail'!K51</f>
        <v>236677.60416666698</v>
      </c>
      <c r="S30" s="115">
        <f>'P&amp;L Detail'!M51</f>
        <v>431126.04166666698</v>
      </c>
    </row>
    <row r="31" spans="2:19" ht="17.25" customHeight="1" x14ac:dyDescent="0.25">
      <c r="B31" s="82" t="s">
        <v>135</v>
      </c>
      <c r="C31" s="89">
        <v>0.45</v>
      </c>
      <c r="D31" s="196"/>
      <c r="F31" s="315" t="s">
        <v>255</v>
      </c>
      <c r="G31" s="316"/>
      <c r="I31" s="103"/>
      <c r="J31" s="239"/>
      <c r="K31" s="103"/>
      <c r="L31" s="236"/>
      <c r="M31" s="87"/>
    </row>
    <row r="32" spans="2:19" ht="17.25" customHeight="1" x14ac:dyDescent="0.25">
      <c r="B32" s="95" t="s">
        <v>184</v>
      </c>
      <c r="C32" s="94">
        <v>0.65</v>
      </c>
      <c r="D32" s="196"/>
      <c r="F32" s="317"/>
      <c r="G32" s="318"/>
      <c r="I32" s="239"/>
      <c r="J32" s="239"/>
      <c r="K32" s="236"/>
      <c r="L32" s="236"/>
      <c r="M32" s="87"/>
    </row>
    <row r="33" spans="2:16" s="103" customFormat="1" ht="17.25" customHeight="1" x14ac:dyDescent="0.25">
      <c r="B33" s="210"/>
      <c r="C33" s="210"/>
      <c r="D33" s="211"/>
      <c r="E33" s="79"/>
      <c r="F33" s="95" t="s">
        <v>194</v>
      </c>
      <c r="G33" s="244">
        <v>65000</v>
      </c>
      <c r="H33" s="79"/>
      <c r="L33" s="214"/>
      <c r="M33" s="87"/>
    </row>
    <row r="34" spans="2:16" ht="17.25" customHeight="1" x14ac:dyDescent="0.25">
      <c r="B34" s="315" t="s">
        <v>254</v>
      </c>
      <c r="C34" s="316"/>
      <c r="D34" s="80"/>
      <c r="I34" s="237"/>
      <c r="L34" s="237"/>
      <c r="M34" s="91"/>
    </row>
    <row r="35" spans="2:16" ht="17.25" customHeight="1" x14ac:dyDescent="0.25">
      <c r="B35" s="317"/>
      <c r="C35" s="318"/>
      <c r="D35" s="197"/>
      <c r="E35" s="103"/>
      <c r="I35" s="99"/>
      <c r="L35" s="99"/>
      <c r="M35" s="91"/>
    </row>
    <row r="36" spans="2:16" ht="17.25" customHeight="1" x14ac:dyDescent="0.25">
      <c r="B36" s="82" t="s">
        <v>146</v>
      </c>
      <c r="C36" s="257">
        <v>75000</v>
      </c>
      <c r="D36" s="80"/>
      <c r="E36" s="237" t="s">
        <v>164</v>
      </c>
      <c r="I36" s="238"/>
      <c r="L36" s="238"/>
    </row>
    <row r="37" spans="2:16" ht="17.25" customHeight="1" x14ac:dyDescent="0.25">
      <c r="B37" s="95" t="s">
        <v>91</v>
      </c>
      <c r="C37" s="244">
        <v>60000</v>
      </c>
      <c r="E37" s="103"/>
      <c r="I37" s="238"/>
      <c r="L37" s="238"/>
      <c r="M37" s="96"/>
      <c r="P37" s="97"/>
    </row>
    <row r="38" spans="2:16" ht="17.25" customHeight="1" x14ac:dyDescent="0.25">
      <c r="D38" s="195"/>
      <c r="E38" s="103"/>
      <c r="I38" s="103"/>
      <c r="P38" s="98"/>
    </row>
    <row r="39" spans="2:16" ht="17.25" customHeight="1" x14ac:dyDescent="0.25">
      <c r="I39" s="103"/>
      <c r="M39" s="99"/>
      <c r="P39" s="97"/>
    </row>
    <row r="40" spans="2:16" ht="17.25" customHeight="1" x14ac:dyDescent="0.25">
      <c r="D40" s="80"/>
      <c r="I40" s="103"/>
      <c r="M40" s="100"/>
      <c r="P40" s="97"/>
    </row>
    <row r="41" spans="2:16" ht="17.25" customHeight="1" x14ac:dyDescent="0.25">
      <c r="D41" s="198"/>
      <c r="I41" s="103"/>
      <c r="P41" s="98"/>
    </row>
    <row r="42" spans="2:16" ht="17.25" customHeight="1" x14ac:dyDescent="0.25">
      <c r="D42" s="80"/>
      <c r="H42" s="101"/>
      <c r="I42" s="197"/>
      <c r="M42" s="203"/>
      <c r="N42" s="101"/>
      <c r="P42" s="98"/>
    </row>
    <row r="43" spans="2:16" ht="17.25" customHeight="1" x14ac:dyDescent="0.25">
      <c r="H43" s="206"/>
      <c r="I43" s="197"/>
      <c r="M43" s="102"/>
    </row>
    <row r="44" spans="2:16" ht="17.25" customHeight="1" x14ac:dyDescent="0.25">
      <c r="D44" s="80"/>
      <c r="E44" s="103"/>
      <c r="M44" s="106"/>
      <c r="O44" s="319"/>
      <c r="P44" s="209"/>
    </row>
    <row r="45" spans="2:16" ht="17.25" customHeight="1" x14ac:dyDescent="0.25">
      <c r="C45" s="199"/>
      <c r="D45" s="199"/>
      <c r="E45" s="103"/>
      <c r="M45" s="203"/>
      <c r="O45" s="319"/>
      <c r="P45" s="97"/>
    </row>
    <row r="46" spans="2:16" ht="17.25" customHeight="1" x14ac:dyDescent="0.25">
      <c r="D46" s="80"/>
      <c r="E46" s="103"/>
      <c r="M46" s="107"/>
      <c r="O46" s="319"/>
      <c r="P46" s="97"/>
    </row>
    <row r="47" spans="2:16" ht="17.25" customHeight="1" x14ac:dyDescent="0.25">
      <c r="D47" s="108"/>
      <c r="E47" s="103"/>
      <c r="O47" s="319"/>
      <c r="P47" s="98"/>
    </row>
    <row r="48" spans="2:16" ht="17.25" customHeight="1" x14ac:dyDescent="0.25">
      <c r="E48" s="103"/>
      <c r="M48" s="109"/>
      <c r="O48" s="319"/>
      <c r="P48" s="98"/>
    </row>
    <row r="49" spans="2:21" ht="17.25" customHeight="1" x14ac:dyDescent="0.25">
      <c r="D49" s="109"/>
      <c r="E49" s="109"/>
      <c r="M49" s="100"/>
    </row>
    <row r="50" spans="2:21" ht="17.25" customHeight="1" x14ac:dyDescent="0.25">
      <c r="D50" s="101"/>
      <c r="E50" s="101"/>
      <c r="M50" s="100"/>
    </row>
    <row r="51" spans="2:21" ht="17.25" customHeight="1" x14ac:dyDescent="0.25">
      <c r="D51" s="101"/>
      <c r="E51" s="101"/>
      <c r="M51" s="111"/>
    </row>
    <row r="52" spans="2:21" ht="17.25" customHeight="1" x14ac:dyDescent="0.25">
      <c r="D52" s="200"/>
      <c r="E52" s="101"/>
    </row>
    <row r="53" spans="2:21" x14ac:dyDescent="0.25">
      <c r="O53" s="117"/>
      <c r="Q53" s="118"/>
      <c r="R53" s="118"/>
    </row>
    <row r="54" spans="2:21" hidden="1" x14ac:dyDescent="0.25">
      <c r="B54" s="320" t="s">
        <v>87</v>
      </c>
      <c r="C54" s="320"/>
      <c r="D54" s="320"/>
      <c r="E54" s="320"/>
    </row>
    <row r="55" spans="2:21" ht="15" hidden="1" customHeight="1" x14ac:dyDescent="0.25">
      <c r="B55" s="117" t="s">
        <v>192</v>
      </c>
      <c r="C55" s="122">
        <v>50</v>
      </c>
      <c r="D55" s="120"/>
    </row>
    <row r="56" spans="2:21" hidden="1" x14ac:dyDescent="0.25">
      <c r="B56" s="85" t="s">
        <v>113</v>
      </c>
      <c r="C56" s="121">
        <v>15</v>
      </c>
      <c r="E56" s="215"/>
    </row>
    <row r="57" spans="2:21" hidden="1" x14ac:dyDescent="0.25">
      <c r="B57" s="85" t="s">
        <v>46</v>
      </c>
      <c r="C57" s="121">
        <v>50</v>
      </c>
      <c r="E57" s="215"/>
      <c r="I57" s="123"/>
    </row>
    <row r="58" spans="2:21" hidden="1" x14ac:dyDescent="0.25">
      <c r="B58" s="212" t="s">
        <v>88</v>
      </c>
      <c r="C58" s="122">
        <v>50</v>
      </c>
      <c r="E58" s="215"/>
    </row>
    <row r="59" spans="2:21" hidden="1" x14ac:dyDescent="0.25">
      <c r="B59" s="212" t="s">
        <v>136</v>
      </c>
      <c r="C59" s="122">
        <v>50</v>
      </c>
      <c r="E59" s="215"/>
    </row>
    <row r="60" spans="2:21" hidden="1" x14ac:dyDescent="0.25">
      <c r="B60" s="212" t="s">
        <v>140</v>
      </c>
      <c r="C60" s="122">
        <v>100</v>
      </c>
      <c r="G60" s="119"/>
      <c r="H60" s="119"/>
      <c r="I60" s="119"/>
      <c r="K60" s="119"/>
      <c r="L60" s="119"/>
      <c r="M60" s="124"/>
      <c r="T60" s="119"/>
      <c r="U60" s="119"/>
    </row>
    <row r="61" spans="2:21" x14ac:dyDescent="0.25">
      <c r="J61" s="79" t="s">
        <v>152</v>
      </c>
      <c r="T61" s="119"/>
      <c r="U61" s="119"/>
    </row>
    <row r="62" spans="2:21" x14ac:dyDescent="0.25">
      <c r="I62" s="79">
        <v>1</v>
      </c>
      <c r="J62" s="79">
        <v>2</v>
      </c>
      <c r="K62" s="79">
        <v>3</v>
      </c>
      <c r="L62" s="79">
        <v>4</v>
      </c>
      <c r="T62" s="119"/>
      <c r="U62" s="119"/>
    </row>
    <row r="63" spans="2:21" x14ac:dyDescent="0.25">
      <c r="G63" s="117" t="s">
        <v>105</v>
      </c>
      <c r="H63" s="117"/>
      <c r="I63" s="118">
        <f>'P&amp;L Detail'!G4+'P&amp;L Detail'!G5+'P&amp;L Detail'!G6+'P&amp;L Detail'!G10</f>
        <v>286812.5</v>
      </c>
      <c r="J63" s="118">
        <f>'P&amp;L Detail'!I4+'P&amp;L Detail'!I5+'P&amp;L Detail'!I6+'P&amp;L Detail'!I10</f>
        <v>911916.66666666698</v>
      </c>
      <c r="K63" s="118">
        <f>'P&amp;L Detail'!K4+'P&amp;L Detail'!K5+'P&amp;L Detail'!K6+'P&amp;L Detail'!K10</f>
        <v>1713520.833333334</v>
      </c>
      <c r="L63" s="118">
        <f>'P&amp;L Detail'!M4+'P&amp;L Detail'!M5+'P&amp;L Detail'!M6+'P&amp;L Detail'!M10</f>
        <v>2691625.0000000005</v>
      </c>
      <c r="O63" s="118">
        <f>SUM(I63:L63)</f>
        <v>5603875.0000000019</v>
      </c>
      <c r="T63" s="119"/>
      <c r="U63" s="119"/>
    </row>
    <row r="64" spans="2:21" x14ac:dyDescent="0.25">
      <c r="G64" s="119" t="s">
        <v>104</v>
      </c>
      <c r="H64" s="119"/>
      <c r="I64" s="118">
        <f>'P&amp;L Detail'!G9+'P&amp;L Detail'!G11+'P&amp;L Detail'!G20</f>
        <v>2210468.75</v>
      </c>
      <c r="J64" s="118">
        <f>'P&amp;L Detail'!I9+'P&amp;L Detail'!I11+'P&amp;L Detail'!I20</f>
        <v>2980885.4166666665</v>
      </c>
      <c r="K64" s="118">
        <f>'P&amp;L Detail'!K9+'P&amp;L Detail'!K11+'P&amp;L Detail'!K20</f>
        <v>3766406.25</v>
      </c>
      <c r="L64" s="119">
        <f>'P&amp;L Detail'!M9+'P&amp;L Detail'!M11+'P&amp;L Detail'!M20</f>
        <v>4564427.083333333</v>
      </c>
      <c r="O64" s="118">
        <f>SUM(I64:L64)</f>
        <v>13522187.5</v>
      </c>
      <c r="T64" s="119"/>
      <c r="U64" s="119"/>
    </row>
    <row r="65" spans="7:21" x14ac:dyDescent="0.25">
      <c r="G65" s="119"/>
      <c r="H65" s="119"/>
      <c r="I65" s="118">
        <f>SUM(I63:I64)</f>
        <v>2497281.25</v>
      </c>
      <c r="J65" s="118">
        <f t="shared" ref="J65:K65" si="0">SUM(J63:J64)</f>
        <v>3892802.0833333335</v>
      </c>
      <c r="K65" s="118">
        <f t="shared" si="0"/>
        <v>5479927.083333334</v>
      </c>
      <c r="L65" s="119">
        <f>SUM(L62:L64)</f>
        <v>7256056.083333334</v>
      </c>
      <c r="O65" s="118">
        <f>SUM(I65:L65)</f>
        <v>19126066.5</v>
      </c>
      <c r="T65" s="119"/>
      <c r="U65" s="119"/>
    </row>
    <row r="66" spans="7:21" x14ac:dyDescent="0.25">
      <c r="G66" s="119"/>
      <c r="H66" s="119"/>
      <c r="I66" s="119"/>
      <c r="J66" s="119"/>
      <c r="K66" s="119"/>
      <c r="L66" s="119"/>
      <c r="O66" s="119"/>
      <c r="T66" s="119"/>
      <c r="U66" s="119"/>
    </row>
    <row r="67" spans="7:21" x14ac:dyDescent="0.25">
      <c r="J67" s="79" t="s">
        <v>160</v>
      </c>
      <c r="O67" s="119"/>
      <c r="T67" s="119"/>
      <c r="U67" s="119"/>
    </row>
    <row r="68" spans="7:21" x14ac:dyDescent="0.25">
      <c r="I68" s="79">
        <v>1</v>
      </c>
      <c r="J68" s="79">
        <v>2</v>
      </c>
      <c r="K68" s="79">
        <v>3</v>
      </c>
      <c r="L68" s="79">
        <v>4</v>
      </c>
      <c r="O68" s="119"/>
      <c r="T68" s="119"/>
      <c r="U68" s="119"/>
    </row>
    <row r="69" spans="7:21" x14ac:dyDescent="0.25">
      <c r="G69" s="117" t="s">
        <v>105</v>
      </c>
      <c r="H69" s="117"/>
      <c r="I69" s="118">
        <f>I63-'P&amp;L Detail'!G27-'P&amp;L Detail'!G30</f>
        <v>98617.1875</v>
      </c>
      <c r="J69" s="118">
        <f>J63-'P&amp;L Detail'!I27-'P&amp;L Detail'!I30</f>
        <v>313552.08333333349</v>
      </c>
      <c r="K69" s="118">
        <f>K63-'P&amp;L Detail'!K27-'P&amp;L Detail'!K30</f>
        <v>589174.47916666663</v>
      </c>
      <c r="L69" s="118">
        <f>L63-'P&amp;L Detail'!M27-'P&amp;L Detail'!M30</f>
        <v>925484.37500000035</v>
      </c>
      <c r="O69" s="118">
        <f>SUM(I69:L69)</f>
        <v>1926828.1250000005</v>
      </c>
      <c r="P69" s="125">
        <f>O69/O63</f>
        <v>0.34383852691218125</v>
      </c>
      <c r="T69" s="119"/>
      <c r="U69" s="119"/>
    </row>
    <row r="70" spans="7:21" x14ac:dyDescent="0.25">
      <c r="G70" s="119" t="s">
        <v>104</v>
      </c>
      <c r="H70" s="119"/>
      <c r="I70" s="119">
        <f>I64-'P&amp;L Detail'!G29-'P&amp;L Detail'!G31-'P&amp;L Detail'!G40</f>
        <v>309414.0625</v>
      </c>
      <c r="J70" s="119">
        <f>J64-'P&amp;L Detail'!I29-'P&amp;L Detail'!I31-'P&amp;L Detail'!I40</f>
        <v>424309.89583333302</v>
      </c>
      <c r="K70" s="119">
        <f>K64-'P&amp;L Detail'!K29-'P&amp;L Detail'!K31-'P&amp;L Detail'!K40</f>
        <v>544492.1875</v>
      </c>
      <c r="L70" s="119">
        <f>L64-'P&amp;L Detail'!M29-'P&amp;L Detail'!M31-'P&amp;L Detail'!M40</f>
        <v>669049.47916666605</v>
      </c>
      <c r="O70" s="118">
        <f>SUM(I70:L70)</f>
        <v>1947265.6249999991</v>
      </c>
      <c r="P70" s="125">
        <f t="shared" ref="P70:P71" si="1">O70/O64</f>
        <v>0.14400522289755258</v>
      </c>
      <c r="T70" s="119"/>
      <c r="U70" s="119"/>
    </row>
    <row r="71" spans="7:21" x14ac:dyDescent="0.25">
      <c r="G71" s="119"/>
      <c r="H71" s="119"/>
      <c r="I71" s="119">
        <f>SUM(I69:I70)</f>
        <v>408031.25</v>
      </c>
      <c r="J71" s="119">
        <f t="shared" ref="J71:K71" si="2">SUM(J69:J70)</f>
        <v>737861.97916666651</v>
      </c>
      <c r="K71" s="119">
        <f t="shared" si="2"/>
        <v>1133666.6666666665</v>
      </c>
      <c r="L71" s="119">
        <f t="shared" ref="L71" si="3">SUM(L68:L70)</f>
        <v>1594537.8541666665</v>
      </c>
      <c r="O71" s="118">
        <f>SUM(I71:L71)</f>
        <v>3874097.7499999995</v>
      </c>
      <c r="P71" s="125">
        <f t="shared" si="1"/>
        <v>0.20255590714379246</v>
      </c>
      <c r="T71" s="119"/>
      <c r="U71" s="119"/>
    </row>
    <row r="72" spans="7:21" x14ac:dyDescent="0.25">
      <c r="G72" s="119"/>
      <c r="H72" s="119"/>
      <c r="I72" s="119"/>
      <c r="J72" s="119"/>
      <c r="K72" s="119"/>
      <c r="L72" s="124"/>
      <c r="N72" s="119"/>
      <c r="O72" s="119"/>
      <c r="T72" s="119"/>
      <c r="U72" s="119"/>
    </row>
    <row r="73" spans="7:21" x14ac:dyDescent="0.25">
      <c r="L73" s="80"/>
      <c r="O73" s="119"/>
      <c r="T73" s="119"/>
      <c r="U73" s="119"/>
    </row>
    <row r="74" spans="7:21" x14ac:dyDescent="0.25">
      <c r="J74" s="79" t="s">
        <v>110</v>
      </c>
      <c r="L74" s="80"/>
      <c r="O74" s="119"/>
      <c r="T74" s="119"/>
      <c r="U74" s="119"/>
    </row>
    <row r="75" spans="7:21" x14ac:dyDescent="0.25">
      <c r="I75" s="79">
        <v>1</v>
      </c>
      <c r="J75" s="79">
        <v>2</v>
      </c>
      <c r="K75" s="79">
        <v>3</v>
      </c>
      <c r="L75" s="79">
        <v>4</v>
      </c>
      <c r="O75" s="119"/>
      <c r="T75" s="119"/>
      <c r="U75" s="119"/>
    </row>
    <row r="76" spans="7:21" x14ac:dyDescent="0.25">
      <c r="G76" s="117" t="s">
        <v>105</v>
      </c>
      <c r="H76" s="117"/>
      <c r="I76" s="118">
        <f>I69*$K$8</f>
        <v>493085.9375</v>
      </c>
      <c r="J76" s="118">
        <f>J69*$K$8</f>
        <v>1567760.4166666674</v>
      </c>
      <c r="K76" s="118">
        <f>K69*$K$8</f>
        <v>2945872.395833333</v>
      </c>
      <c r="L76" s="118">
        <f>L69*$K$8</f>
        <v>4627421.8750000019</v>
      </c>
      <c r="T76" s="119"/>
      <c r="U76" s="119"/>
    </row>
    <row r="77" spans="7:21" x14ac:dyDescent="0.25">
      <c r="G77" s="119" t="s">
        <v>104</v>
      </c>
      <c r="H77" s="119"/>
      <c r="I77" s="119">
        <f>I70*$K$9</f>
        <v>464121.09375</v>
      </c>
      <c r="J77" s="119">
        <f>J70*$K$9</f>
        <v>636464.84374999953</v>
      </c>
      <c r="K77" s="119">
        <f>K70*$K$9</f>
        <v>816738.28125</v>
      </c>
      <c r="L77" s="119">
        <f>L70*$K$9</f>
        <v>1003574.2187499991</v>
      </c>
      <c r="T77" s="119"/>
      <c r="U77" s="119"/>
    </row>
    <row r="78" spans="7:21" x14ac:dyDescent="0.25">
      <c r="G78" s="119"/>
      <c r="H78" s="119"/>
      <c r="I78" s="119">
        <f>SUM(I76:I77)</f>
        <v>957207.03125</v>
      </c>
      <c r="J78" s="119">
        <f t="shared" ref="J78:K78" si="4">SUM(J76:J77)</f>
        <v>2204225.260416667</v>
      </c>
      <c r="K78" s="119">
        <f t="shared" si="4"/>
        <v>3762610.677083333</v>
      </c>
      <c r="L78" s="119">
        <f>SUM(L76:L77)</f>
        <v>5630996.0937500009</v>
      </c>
      <c r="T78" s="119"/>
      <c r="U78" s="119"/>
    </row>
    <row r="79" spans="7:21" x14ac:dyDescent="0.25">
      <c r="G79" s="119"/>
      <c r="H79" s="119"/>
      <c r="I79" s="119"/>
      <c r="K79" s="119"/>
      <c r="L79" s="119"/>
      <c r="M79" s="124"/>
      <c r="T79" s="119"/>
      <c r="U79" s="119"/>
    </row>
    <row r="80" spans="7:21" x14ac:dyDescent="0.25">
      <c r="J80" s="79" t="s">
        <v>16</v>
      </c>
      <c r="T80" s="119"/>
      <c r="U80" s="119"/>
    </row>
    <row r="81" spans="6:21" x14ac:dyDescent="0.25">
      <c r="I81" s="79">
        <v>1</v>
      </c>
      <c r="J81" s="79">
        <v>2</v>
      </c>
      <c r="K81" s="79">
        <v>3</v>
      </c>
      <c r="N81" s="79">
        <v>4</v>
      </c>
      <c r="T81" s="119"/>
      <c r="U81" s="119"/>
    </row>
    <row r="82" spans="6:21" x14ac:dyDescent="0.25">
      <c r="G82" s="117" t="s">
        <v>76</v>
      </c>
      <c r="H82" s="117"/>
      <c r="I82" s="126">
        <f>G13*$C$57/100</f>
        <v>7.5</v>
      </c>
      <c r="J82" s="126">
        <f>(H13*$C$57/100)+I82-(I82*'"Fine Tune" Variables'!$G$9)</f>
        <v>17.5</v>
      </c>
      <c r="K82" s="126">
        <f>(J13*$C$57/100)+J82-((J82-I82)*'"Fine Tune" Variables'!$G$9)</f>
        <v>30</v>
      </c>
      <c r="L82" s="126"/>
      <c r="M82" s="127"/>
      <c r="N82" s="126">
        <f>(K13*$C$57/100)+K82-((K82-J82)*'"Fine Tune" Variables'!$G$9)</f>
        <v>45</v>
      </c>
    </row>
    <row r="87" spans="6:21" hidden="1" x14ac:dyDescent="0.25"/>
    <row r="88" spans="6:21" hidden="1" x14ac:dyDescent="0.25"/>
    <row r="89" spans="6:21" hidden="1" x14ac:dyDescent="0.25">
      <c r="F89" s="128" t="s">
        <v>44</v>
      </c>
      <c r="G89" s="129" t="s">
        <v>24</v>
      </c>
      <c r="H89" s="104"/>
      <c r="I89" s="104" t="s">
        <v>11</v>
      </c>
      <c r="J89" s="104" t="s">
        <v>12</v>
      </c>
      <c r="K89" s="105" t="s">
        <v>13</v>
      </c>
      <c r="L89" s="234"/>
      <c r="M89" s="203"/>
    </row>
    <row r="90" spans="6:21" hidden="1" x14ac:dyDescent="0.25">
      <c r="F90" s="204"/>
      <c r="G90" s="130">
        <v>0</v>
      </c>
      <c r="H90" s="131"/>
      <c r="I90" s="131">
        <v>0</v>
      </c>
      <c r="J90" s="131">
        <v>0</v>
      </c>
      <c r="K90" s="132">
        <v>0</v>
      </c>
      <c r="L90" s="235"/>
      <c r="M90" s="106"/>
    </row>
    <row r="91" spans="6:21" hidden="1" x14ac:dyDescent="0.25"/>
    <row r="92" spans="6:21" hidden="1" x14ac:dyDescent="0.25"/>
    <row r="96" spans="6:21" x14ac:dyDescent="0.25">
      <c r="I96" s="202"/>
    </row>
    <row r="97" spans="9:9" x14ac:dyDescent="0.25">
      <c r="I97" s="84"/>
    </row>
    <row r="98" spans="9:9" x14ac:dyDescent="0.25">
      <c r="I98" s="84"/>
    </row>
    <row r="99" spans="9:9" x14ac:dyDescent="0.25">
      <c r="I99" s="88"/>
    </row>
    <row r="100" spans="9:9" x14ac:dyDescent="0.25">
      <c r="I100" s="84"/>
    </row>
    <row r="101" spans="9:9" x14ac:dyDescent="0.25">
      <c r="I101" s="92"/>
    </row>
  </sheetData>
  <sheetProtection algorithmName="SHA-512" hashValue="p5l0nQn4OgaI217eeo0+RRbJhYW4DaF8dKLOwkdXJe1se82UP8tYUJmBvjm2paEQraizvS9KF3NVSnGbz0V9Og==" saltValue="/l8vUUda0pCpgGJZmf6u7Q==" spinCount="100000" sheet="1" objects="1" scenarios="1"/>
  <mergeCells count="42">
    <mergeCell ref="F31:G32"/>
    <mergeCell ref="K18:K19"/>
    <mergeCell ref="B15:C16"/>
    <mergeCell ref="F21:G21"/>
    <mergeCell ref="C11:C13"/>
    <mergeCell ref="G8:G10"/>
    <mergeCell ref="F8:F10"/>
    <mergeCell ref="I6:K7"/>
    <mergeCell ref="I27:J28"/>
    <mergeCell ref="K27:K28"/>
    <mergeCell ref="K2:K4"/>
    <mergeCell ref="C7:C9"/>
    <mergeCell ref="B7:B9"/>
    <mergeCell ref="J15:J16"/>
    <mergeCell ref="K15:K16"/>
    <mergeCell ref="H15:I16"/>
    <mergeCell ref="I2:J4"/>
    <mergeCell ref="G2:G3"/>
    <mergeCell ref="G4:G6"/>
    <mergeCell ref="F12:F13"/>
    <mergeCell ref="F2:F3"/>
    <mergeCell ref="F4:F6"/>
    <mergeCell ref="H13:I13"/>
    <mergeCell ref="H12:I12"/>
    <mergeCell ref="B2:C4"/>
    <mergeCell ref="B11:B13"/>
    <mergeCell ref="B34:C35"/>
    <mergeCell ref="O44:O48"/>
    <mergeCell ref="B54:E54"/>
    <mergeCell ref="F14:F16"/>
    <mergeCell ref="F17:F19"/>
    <mergeCell ref="I21:K21"/>
    <mergeCell ref="I24:K24"/>
    <mergeCell ref="F28:G28"/>
    <mergeCell ref="M27:S27"/>
    <mergeCell ref="H14:I14"/>
    <mergeCell ref="G18:G19"/>
    <mergeCell ref="H18:I19"/>
    <mergeCell ref="J18:J19"/>
    <mergeCell ref="F24:G25"/>
    <mergeCell ref="G15:G16"/>
    <mergeCell ref="B24:C25"/>
  </mergeCells>
  <pageMargins left="0.7" right="0.7" top="0.75" bottom="0.75" header="0.3" footer="0.3"/>
  <pageSetup orientation="portrait" r:id="rId1"/>
  <ignoredErrors>
    <ignoredError sqref="G15:K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Scroll Bar 5">
              <controlPr locked="0" defaultSize="0" autoPict="0">
                <anchor moveWithCells="1">
                  <from>
                    <xdr:col>7</xdr:col>
                    <xdr:colOff>390525</xdr:colOff>
                    <xdr:row>24</xdr:row>
                    <xdr:rowOff>9525</xdr:rowOff>
                  </from>
                  <to>
                    <xdr:col>11</xdr:col>
                    <xdr:colOff>9525</xdr:colOff>
                    <xdr:row>25</xdr:row>
                    <xdr:rowOff>38100</xdr:rowOff>
                  </to>
                </anchor>
              </controlPr>
            </control>
          </mc:Choice>
        </mc:AlternateContent>
        <mc:AlternateContent xmlns:mc="http://schemas.openxmlformats.org/markup-compatibility/2006">
          <mc:Choice Requires="x14">
            <control shapeId="1051" r:id="rId5" name="Scroll Bar 27">
              <controlPr locked="0" defaultSize="0" autoPict="0">
                <anchor moveWithCells="1">
                  <from>
                    <xdr:col>4</xdr:col>
                    <xdr:colOff>47625</xdr:colOff>
                    <xdr:row>25</xdr:row>
                    <xdr:rowOff>28575</xdr:rowOff>
                  </from>
                  <to>
                    <xdr:col>7</xdr:col>
                    <xdr:colOff>9525</xdr:colOff>
                    <xdr:row>26</xdr:row>
                    <xdr:rowOff>76200</xdr:rowOff>
                  </to>
                </anchor>
              </controlPr>
            </control>
          </mc:Choice>
        </mc:AlternateContent>
        <mc:AlternateContent xmlns:mc="http://schemas.openxmlformats.org/markup-compatibility/2006">
          <mc:Choice Requires="x14">
            <control shapeId="1103" r:id="rId6" name="Scroll Bar 79">
              <controlPr locked="0" defaultSize="0" autoPict="0">
                <anchor moveWithCells="1">
                  <from>
                    <xdr:col>5</xdr:col>
                    <xdr:colOff>0</xdr:colOff>
                    <xdr:row>28</xdr:row>
                    <xdr:rowOff>9525</xdr:rowOff>
                  </from>
                  <to>
                    <xdr:col>7</xdr:col>
                    <xdr:colOff>9525</xdr:colOff>
                    <xdr:row>29</xdr:row>
                    <xdr:rowOff>38100</xdr:rowOff>
                  </to>
                </anchor>
              </controlPr>
            </control>
          </mc:Choice>
        </mc:AlternateContent>
        <mc:AlternateContent xmlns:mc="http://schemas.openxmlformats.org/markup-compatibility/2006">
          <mc:Choice Requires="x14">
            <control shapeId="1162" r:id="rId7" name="Scroll Bar 138">
              <controlPr locked="0" defaultSize="0" autoPict="0">
                <anchor moveWithCells="1">
                  <from>
                    <xdr:col>5</xdr:col>
                    <xdr:colOff>28575</xdr:colOff>
                    <xdr:row>21</xdr:row>
                    <xdr:rowOff>0</xdr:rowOff>
                  </from>
                  <to>
                    <xdr:col>7</xdr:col>
                    <xdr:colOff>0</xdr:colOff>
                    <xdr:row>22</xdr:row>
                    <xdr:rowOff>9525</xdr:rowOff>
                  </to>
                </anchor>
              </controlPr>
            </control>
          </mc:Choice>
        </mc:AlternateContent>
        <mc:AlternateContent xmlns:mc="http://schemas.openxmlformats.org/markup-compatibility/2006">
          <mc:Choice Requires="x14">
            <control shapeId="1163" r:id="rId8" name="Scroll Bar 139">
              <controlPr locked="0" defaultSize="0" autoPict="0">
                <anchor moveWithCells="1">
                  <from>
                    <xdr:col>8</xdr:col>
                    <xdr:colOff>28575</xdr:colOff>
                    <xdr:row>20</xdr:row>
                    <xdr:rowOff>209550</xdr:rowOff>
                  </from>
                  <to>
                    <xdr:col>11</xdr:col>
                    <xdr:colOff>0</xdr:colOff>
                    <xdr:row>22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R129"/>
  <sheetViews>
    <sheetView showGridLines="0" zoomScale="80" zoomScaleNormal="80" workbookViewId="0">
      <pane xSplit="4" ySplit="2" topLeftCell="G3" activePane="bottomRight" state="frozen"/>
      <selection pane="topRight" activeCell="C1" sqref="C1"/>
      <selection pane="bottomLeft" activeCell="A3" sqref="A3"/>
      <selection pane="bottomRight" activeCell="K25" sqref="K25"/>
    </sheetView>
  </sheetViews>
  <sheetFormatPr defaultColWidth="9.125" defaultRowHeight="14.25" x14ac:dyDescent="0.25"/>
  <cols>
    <col min="1" max="1" width="9.125" style="79"/>
    <col min="2" max="3" width="5" style="79" customWidth="1"/>
    <col min="4" max="4" width="55.875" style="79" customWidth="1"/>
    <col min="5" max="5" width="16.75" style="79" hidden="1" customWidth="1"/>
    <col min="6" max="6" width="9.125" style="79" hidden="1" customWidth="1"/>
    <col min="7" max="7" width="16.75" style="79" customWidth="1"/>
    <col min="8" max="8" width="9.125" style="79"/>
    <col min="9" max="9" width="16.75" style="79" customWidth="1"/>
    <col min="10" max="10" width="9.125" style="79"/>
    <col min="11" max="11" width="16.75" style="79" customWidth="1"/>
    <col min="12" max="12" width="11.25" style="79" bestFit="1" customWidth="1"/>
    <col min="13" max="13" width="16.75" style="79" customWidth="1"/>
    <col min="14" max="14" width="11" style="79" customWidth="1"/>
    <col min="15" max="15" width="5.375" style="79" customWidth="1"/>
    <col min="16" max="16" width="12" style="79" bestFit="1" customWidth="1"/>
    <col min="17" max="17" width="11" style="108" bestFit="1" customWidth="1"/>
    <col min="18" max="18" width="35.25" style="79" customWidth="1"/>
    <col min="19" max="16384" width="9.125" style="79"/>
  </cols>
  <sheetData>
    <row r="1" spans="1:17" ht="25.5" customHeight="1" x14ac:dyDescent="0.25">
      <c r="E1" s="363" t="s">
        <v>19</v>
      </c>
      <c r="F1" s="363"/>
      <c r="G1" s="363" t="s">
        <v>6</v>
      </c>
      <c r="H1" s="363"/>
      <c r="I1" s="363" t="s">
        <v>3</v>
      </c>
      <c r="J1" s="363"/>
      <c r="K1" s="363" t="s">
        <v>4</v>
      </c>
      <c r="L1" s="363"/>
      <c r="M1" s="363" t="s">
        <v>5</v>
      </c>
      <c r="N1" s="363"/>
      <c r="Q1" s="79"/>
    </row>
    <row r="2" spans="1:17" ht="28.5" x14ac:dyDescent="0.25">
      <c r="E2" s="133"/>
      <c r="F2" s="134" t="s">
        <v>7</v>
      </c>
      <c r="G2" s="117"/>
      <c r="H2" s="134" t="s">
        <v>7</v>
      </c>
      <c r="I2" s="117"/>
      <c r="J2" s="134" t="s">
        <v>7</v>
      </c>
      <c r="K2" s="117"/>
      <c r="L2" s="134" t="s">
        <v>7</v>
      </c>
      <c r="M2" s="117"/>
      <c r="N2" s="134" t="s">
        <v>7</v>
      </c>
      <c r="Q2" s="79"/>
    </row>
    <row r="3" spans="1:17" x14ac:dyDescent="0.25">
      <c r="A3" s="362" t="s">
        <v>152</v>
      </c>
      <c r="B3" s="79" t="s">
        <v>86</v>
      </c>
      <c r="Q3" s="79"/>
    </row>
    <row r="4" spans="1:17" x14ac:dyDescent="0.25">
      <c r="A4" s="362"/>
      <c r="C4" s="79" t="s">
        <v>237</v>
      </c>
      <c r="E4" s="216">
        <v>0</v>
      </c>
      <c r="F4" s="125">
        <f>IFERROR(E4/$E$48,0)</f>
        <v>0</v>
      </c>
      <c r="G4" s="118">
        <f>FV('"Fine Tune" Variables'!$C$38,1,,-$E4)+'Core Calculations'!B67</f>
        <v>124718.75</v>
      </c>
      <c r="H4" s="125">
        <f>IFERROR(G4/$G$48,0)</f>
        <v>4.9941811720245768E-2</v>
      </c>
      <c r="I4" s="118">
        <f>FV('"Fine Tune" Variables'!$C$38,2,,-$E4)+'Core Calculations'!C67</f>
        <v>396541.66666666674</v>
      </c>
      <c r="J4" s="125">
        <f>IFERROR(I4/$I$48,0)</f>
        <v>0.10186535512925834</v>
      </c>
      <c r="K4" s="118">
        <f>FV('"Fine Tune" Variables'!$C$38,3,,-$E4)+'Core Calculations'!D67</f>
        <v>745114.5833333336</v>
      </c>
      <c r="L4" s="125">
        <f>IFERROR(K4/$K$48,0)</f>
        <v>0.13597162371001748</v>
      </c>
      <c r="M4" s="118">
        <f>FV('"Fine Tune" Variables'!$C$38,4,,-$E4)+'Core Calculations'!E67</f>
        <v>1170437.5000000002</v>
      </c>
      <c r="N4" s="125">
        <f>IFERROR(M4/$M$48,0)</f>
        <v>0.16130500257687191</v>
      </c>
      <c r="Q4" s="79"/>
    </row>
    <row r="5" spans="1:17" s="80" customFormat="1" x14ac:dyDescent="0.25">
      <c r="A5" s="362"/>
      <c r="C5" s="135" t="s">
        <v>63</v>
      </c>
      <c r="E5" s="217">
        <v>0</v>
      </c>
      <c r="F5" s="125">
        <f>IFERROR(E5/$E$48,0)</f>
        <v>0</v>
      </c>
      <c r="G5" s="258">
        <f>FV('"Fine Tune" Variables'!$C$38,1,,-$E5)+'Core Calculations'!B63</f>
        <v>3656.25</v>
      </c>
      <c r="H5" s="125">
        <f>IFERROR(G5/$G$48,0)</f>
        <v>1.4640922002677912E-3</v>
      </c>
      <c r="I5" s="258">
        <f>FV('"Fine Tune" Variables'!$C$38,2,,-$E5)+'Core Calculations'!C63</f>
        <v>11625.000000000002</v>
      </c>
      <c r="J5" s="125">
        <f>IFERROR(I5/$I$48,0)</f>
        <v>2.9862807692616453E-3</v>
      </c>
      <c r="K5" s="258">
        <f>FV('"Fine Tune" Variables'!$C$38,3,,-$E5)+'Core Calculations'!D63</f>
        <v>21843.750000000007</v>
      </c>
      <c r="L5" s="125">
        <f>IFERROR(K5/$K$48,0)</f>
        <v>3.9861388058311312E-3</v>
      </c>
      <c r="M5" s="258">
        <f>FV('"Fine Tune" Variables'!$C$38,4,,-$E5)+'Core Calculations'!E63</f>
        <v>34312.500000000015</v>
      </c>
      <c r="N5" s="125">
        <f>IFERROR(M5/$M$48,0)</f>
        <v>4.7288111504620442E-3</v>
      </c>
    </row>
    <row r="6" spans="1:17" hidden="1" x14ac:dyDescent="0.25">
      <c r="A6" s="362"/>
      <c r="C6" s="79" t="s">
        <v>65</v>
      </c>
      <c r="E6" s="216">
        <v>0</v>
      </c>
      <c r="F6" s="125">
        <f>IFERROR(E6/$E$48,0)</f>
        <v>0</v>
      </c>
      <c r="G6" s="137">
        <f>FV('"Fine Tune" Variables'!$C$38,1,,-$E6)</f>
        <v>0</v>
      </c>
      <c r="H6" s="125">
        <f>IFERROR(G6/$G$48,0)</f>
        <v>0</v>
      </c>
      <c r="I6" s="137">
        <f>FV('"Fine Tune" Variables'!$C$38,2,,-$E6)</f>
        <v>0</v>
      </c>
      <c r="J6" s="125">
        <f>IFERROR(I6/$I$48,0)</f>
        <v>0</v>
      </c>
      <c r="K6" s="137">
        <f>FV('"Fine Tune" Variables'!$C$38,3,,-$E6)</f>
        <v>0</v>
      </c>
      <c r="L6" s="125">
        <f>IFERROR(K6/$K$48,0)</f>
        <v>0</v>
      </c>
      <c r="M6" s="137">
        <f>FV('"Fine Tune" Variables'!$C$38,4,,-$E6)</f>
        <v>0</v>
      </c>
      <c r="N6" s="125">
        <f>IFERROR(M6/$M$48,0)</f>
        <v>0</v>
      </c>
      <c r="Q6" s="79"/>
    </row>
    <row r="7" spans="1:17" x14ac:dyDescent="0.25">
      <c r="A7" s="362"/>
      <c r="D7" s="117" t="s">
        <v>31</v>
      </c>
      <c r="E7" s="141">
        <f>SUM(E4:E6)</f>
        <v>0</v>
      </c>
      <c r="F7" s="125">
        <f>IFERROR(E7/$E$48,0)</f>
        <v>0</v>
      </c>
      <c r="G7" s="142">
        <f>SUM(G4:G6)</f>
        <v>128375</v>
      </c>
      <c r="H7" s="125">
        <f>IFERROR(G7/$G$48,0)</f>
        <v>5.1405903920513557E-2</v>
      </c>
      <c r="I7" s="142">
        <f>SUM(I4:I6)</f>
        <v>408166.66666666674</v>
      </c>
      <c r="J7" s="125">
        <f>IFERROR(I7/$I$48,0)</f>
        <v>0.10485163589851999</v>
      </c>
      <c r="K7" s="142">
        <f>SUM(K4:K6)</f>
        <v>766958.3333333336</v>
      </c>
      <c r="L7" s="125">
        <f>IFERROR(K7/$K$48,0)</f>
        <v>0.1399577625158486</v>
      </c>
      <c r="M7" s="142">
        <f>SUM(M4:M6)</f>
        <v>1204750.0000000002</v>
      </c>
      <c r="N7" s="125">
        <f>IFERROR(M7/$M$48,0)</f>
        <v>0.16603381372733395</v>
      </c>
      <c r="Q7" s="79"/>
    </row>
    <row r="8" spans="1:17" x14ac:dyDescent="0.25">
      <c r="A8" s="362"/>
      <c r="B8" s="79" t="s">
        <v>85</v>
      </c>
      <c r="C8" s="116"/>
      <c r="E8" s="143"/>
      <c r="F8" s="125"/>
      <c r="G8" s="118"/>
      <c r="H8" s="125"/>
      <c r="I8" s="119"/>
      <c r="J8" s="125"/>
      <c r="K8" s="119"/>
      <c r="L8" s="125"/>
      <c r="M8" s="119"/>
      <c r="N8" s="125"/>
      <c r="Q8" s="79"/>
    </row>
    <row r="9" spans="1:17" x14ac:dyDescent="0.25">
      <c r="A9" s="362"/>
      <c r="C9" s="79" t="s">
        <v>148</v>
      </c>
      <c r="E9" s="218">
        <v>0</v>
      </c>
      <c r="F9" s="125">
        <f>IFERROR(E9/$E$48,0)</f>
        <v>0</v>
      </c>
      <c r="G9" s="118">
        <f>FV('"Fine Tune" Variables'!$C$38,1,,-$E9)+'Core Calculations'!B62+'Core Calculations'!B66</f>
        <v>305468.75</v>
      </c>
      <c r="H9" s="125">
        <f>IFERROR(G9/$G$48,0)</f>
        <v>0.12232052356938171</v>
      </c>
      <c r="I9" s="118">
        <f>FV('"Fine Tune" Variables'!$C$38,2,,-$E9)+'Core Calculations'!C62+'Core Calculations'!C66</f>
        <v>440885.41666666663</v>
      </c>
      <c r="J9" s="125">
        <f>IFERROR(I9/$I$48,0)</f>
        <v>0.11325657128942572</v>
      </c>
      <c r="K9" s="118">
        <f>FV('"Fine Tune" Variables'!$C$38,3,,-$E9)+'Core Calculations'!D62+'Core Calculations'!D66</f>
        <v>591406.25000000023</v>
      </c>
      <c r="L9" s="125">
        <f>IFERROR(K9/$K$48,0)</f>
        <v>0.10792228454986288</v>
      </c>
      <c r="M9" s="118">
        <f>FV('"Fine Tune" Variables'!$C$38,4,,-$E9)+'Core Calculations'!E62+'Core Calculations'!E66</f>
        <v>754427.08333333337</v>
      </c>
      <c r="N9" s="125">
        <f>IFERROR(M9/$M$48,0)</f>
        <v>0.10397211523139448</v>
      </c>
      <c r="Q9" s="79"/>
    </row>
    <row r="10" spans="1:17" x14ac:dyDescent="0.25">
      <c r="A10" s="362"/>
      <c r="C10" s="79" t="s">
        <v>69</v>
      </c>
      <c r="E10" s="218">
        <v>0</v>
      </c>
      <c r="F10" s="125">
        <f>IFERROR(E10/$E$48,0)</f>
        <v>0</v>
      </c>
      <c r="G10" s="137">
        <f>FV('"Fine Tune" Variables'!$C$38,1,,-$E10)+'Core Calculations'!B64</f>
        <v>158437.5</v>
      </c>
      <c r="H10" s="125">
        <f>IFERROR(G10/$G$48,0)</f>
        <v>6.3443995344937623E-2</v>
      </c>
      <c r="I10" s="137">
        <f>FV('"Fine Tune" Variables'!$C$38,2,,-$E10)+'Core Calculations'!C64</f>
        <v>503750.00000000017</v>
      </c>
      <c r="J10" s="125">
        <f>IFERROR(I10/$I$48,0)</f>
        <v>0.12940550000133799</v>
      </c>
      <c r="K10" s="137">
        <f>FV('"Fine Tune" Variables'!$C$38,3,,-$E10)+'Core Calculations'!D64</f>
        <v>946562.50000000047</v>
      </c>
      <c r="L10" s="125">
        <f>IFERROR(K10/$K$48,0)</f>
        <v>0.17273268158601571</v>
      </c>
      <c r="M10" s="137">
        <f>FV('"Fine Tune" Variables'!$C$38,4,,-$E10)+'Core Calculations'!E64</f>
        <v>1486875.0000000002</v>
      </c>
      <c r="N10" s="125">
        <f>IFERROR(M10/$M$48,0)</f>
        <v>0.20491514985335518</v>
      </c>
      <c r="Q10" s="79"/>
    </row>
    <row r="11" spans="1:17" x14ac:dyDescent="0.25">
      <c r="A11" s="362"/>
      <c r="C11" s="101" t="s">
        <v>36</v>
      </c>
      <c r="E11" s="138" t="s">
        <v>20</v>
      </c>
      <c r="F11" s="125"/>
      <c r="G11" s="140">
        <f>'Core Calculations'!B60</f>
        <v>30000</v>
      </c>
      <c r="H11" s="125">
        <f>IFERROR(G11/$G$48,0)</f>
        <v>1.2013064207325466E-2</v>
      </c>
      <c r="I11" s="140">
        <f>'Core Calculations'!C60</f>
        <v>40000.000000000022</v>
      </c>
      <c r="J11" s="125">
        <f>IFERROR(I11/$I$48,0)</f>
        <v>1.0275374689932545E-2</v>
      </c>
      <c r="K11" s="140">
        <f>'Core Calculations'!D60</f>
        <v>49999.999999999993</v>
      </c>
      <c r="L11" s="125">
        <f>IFERROR(K11/$K$48,0)</f>
        <v>9.1242089976105948E-3</v>
      </c>
      <c r="M11" s="140">
        <f>'Core Calculations'!E60</f>
        <v>60000</v>
      </c>
      <c r="N11" s="125">
        <f>IFERROR(M11/$M$48,0)</f>
        <v>8.2689593887860843E-3</v>
      </c>
      <c r="Q11" s="79"/>
    </row>
    <row r="12" spans="1:17" x14ac:dyDescent="0.25">
      <c r="A12" s="362"/>
      <c r="D12" s="117" t="s">
        <v>31</v>
      </c>
      <c r="E12" s="144">
        <f>SUM(E9:E11)</f>
        <v>0</v>
      </c>
      <c r="F12" s="125">
        <f>IFERROR(E12/$E$48,0)</f>
        <v>0</v>
      </c>
      <c r="G12" s="145">
        <f>SUM(G9:G11)</f>
        <v>493906.25</v>
      </c>
      <c r="H12" s="125">
        <f>IFERROR(G12/$G$48,0)</f>
        <v>0.19777758312164478</v>
      </c>
      <c r="I12" s="145">
        <f>SUM(I9:I11)</f>
        <v>984635.41666666674</v>
      </c>
      <c r="J12" s="125">
        <f>IFERROR(I12/$I$48,0)</f>
        <v>0.25293744598069623</v>
      </c>
      <c r="K12" s="145">
        <f>SUM(K9:K11)</f>
        <v>1587968.7500000007</v>
      </c>
      <c r="L12" s="125">
        <f>IFERROR(K12/$K$48,0)</f>
        <v>0.28977917513348916</v>
      </c>
      <c r="M12" s="145">
        <f>SUM(M9:M11)</f>
        <v>2301302.0833333335</v>
      </c>
      <c r="N12" s="125">
        <f>IFERROR(M12/$M$48,0)</f>
        <v>0.31715622447353575</v>
      </c>
      <c r="Q12" s="79"/>
    </row>
    <row r="13" spans="1:17" x14ac:dyDescent="0.25">
      <c r="A13" s="362"/>
      <c r="E13" s="146"/>
      <c r="F13" s="125"/>
      <c r="G13" s="119"/>
      <c r="H13" s="125"/>
      <c r="I13" s="119"/>
      <c r="J13" s="125"/>
      <c r="K13" s="119"/>
      <c r="L13" s="125"/>
      <c r="M13" s="119"/>
      <c r="N13" s="125"/>
      <c r="Q13" s="79"/>
    </row>
    <row r="14" spans="1:17" hidden="1" x14ac:dyDescent="0.25">
      <c r="A14" s="362"/>
      <c r="D14" s="117" t="s">
        <v>79</v>
      </c>
      <c r="E14" s="219">
        <v>0</v>
      </c>
      <c r="F14" s="125"/>
      <c r="H14" s="125"/>
      <c r="I14" s="119"/>
      <c r="J14" s="125"/>
      <c r="K14" s="119"/>
      <c r="L14" s="125"/>
      <c r="M14" s="119"/>
      <c r="N14" s="125"/>
      <c r="Q14" s="79"/>
    </row>
    <row r="15" spans="1:17" hidden="1" x14ac:dyDescent="0.25">
      <c r="A15" s="362"/>
      <c r="D15" s="117" t="s">
        <v>80</v>
      </c>
      <c r="E15" s="219">
        <v>0</v>
      </c>
      <c r="F15" s="125"/>
      <c r="G15" s="147"/>
      <c r="H15" s="125"/>
      <c r="I15" s="147"/>
      <c r="J15" s="125"/>
      <c r="K15" s="147"/>
      <c r="L15" s="125"/>
      <c r="M15" s="147"/>
      <c r="N15" s="125"/>
      <c r="Q15" s="79"/>
    </row>
    <row r="16" spans="1:17" hidden="1" x14ac:dyDescent="0.25">
      <c r="A16" s="362"/>
      <c r="D16" s="117" t="s">
        <v>81</v>
      </c>
      <c r="E16" s="220">
        <v>0</v>
      </c>
      <c r="F16" s="125"/>
      <c r="G16" s="147"/>
      <c r="H16" s="125"/>
      <c r="I16" s="147"/>
      <c r="J16" s="125"/>
      <c r="K16" s="147"/>
      <c r="L16" s="125"/>
      <c r="M16" s="147"/>
      <c r="N16" s="125"/>
      <c r="Q16" s="79"/>
    </row>
    <row r="17" spans="1:17" hidden="1" x14ac:dyDescent="0.25">
      <c r="A17" s="362"/>
      <c r="D17" s="117" t="s">
        <v>45</v>
      </c>
      <c r="E17" s="148">
        <f>IFERROR(E16/E15,0)</f>
        <v>0</v>
      </c>
      <c r="F17" s="139" t="s">
        <v>41</v>
      </c>
      <c r="G17" s="148"/>
      <c r="H17" s="125"/>
      <c r="I17" s="148"/>
      <c r="J17" s="125"/>
      <c r="K17" s="148"/>
      <c r="L17" s="125"/>
      <c r="M17" s="148"/>
      <c r="N17" s="125"/>
      <c r="Q17" s="79"/>
    </row>
    <row r="18" spans="1:17" hidden="1" x14ac:dyDescent="0.25">
      <c r="A18" s="362"/>
      <c r="D18" s="117"/>
      <c r="E18" s="148"/>
      <c r="F18" s="139"/>
      <c r="G18" s="148"/>
      <c r="H18" s="125"/>
      <c r="I18" s="148"/>
      <c r="J18" s="125"/>
      <c r="K18" s="148"/>
      <c r="L18" s="125"/>
      <c r="M18" s="148"/>
      <c r="N18" s="125"/>
      <c r="Q18" s="79"/>
    </row>
    <row r="19" spans="1:17" hidden="1" x14ac:dyDescent="0.25">
      <c r="A19" s="362"/>
      <c r="B19" s="79" t="s">
        <v>58</v>
      </c>
      <c r="E19" s="117"/>
      <c r="F19" s="134"/>
      <c r="G19" s="117"/>
      <c r="H19" s="134"/>
      <c r="I19" s="117"/>
      <c r="J19" s="134"/>
      <c r="K19" s="117"/>
      <c r="L19" s="134"/>
      <c r="M19" s="117"/>
      <c r="N19" s="134"/>
      <c r="Q19" s="79"/>
    </row>
    <row r="20" spans="1:17" x14ac:dyDescent="0.25">
      <c r="A20" s="362"/>
      <c r="B20" s="79" t="s">
        <v>398</v>
      </c>
      <c r="E20" s="221">
        <v>0</v>
      </c>
      <c r="F20" s="125">
        <f>IFERROR(E20/$E$48,0)</f>
        <v>0</v>
      </c>
      <c r="G20" s="118">
        <f>'Core Calculations'!B65</f>
        <v>1875000</v>
      </c>
      <c r="H20" s="125">
        <f>IFERROR(G20/$G$48,0)</f>
        <v>0.75081651295784169</v>
      </c>
      <c r="I20" s="118">
        <f>'Core Calculations'!C65</f>
        <v>2500000</v>
      </c>
      <c r="J20" s="125">
        <f>IFERROR(I20/$I$48,0)</f>
        <v>0.64221091812078379</v>
      </c>
      <c r="K20" s="118">
        <f>'Core Calculations'!D65</f>
        <v>3125000</v>
      </c>
      <c r="L20" s="125">
        <f>IFERROR(K20/$K$48,0)</f>
        <v>0.57026306235066226</v>
      </c>
      <c r="M20" s="118">
        <f>'Core Calculations'!E65</f>
        <v>3750000</v>
      </c>
      <c r="N20" s="125">
        <f>IFERROR(M20/$M$48,0)</f>
        <v>0.5168099617991303</v>
      </c>
      <c r="Q20" s="79"/>
    </row>
    <row r="21" spans="1:17" x14ac:dyDescent="0.25">
      <c r="E21" s="119"/>
      <c r="F21" s="149"/>
      <c r="G21" s="119"/>
      <c r="H21" s="149"/>
      <c r="I21" s="119"/>
      <c r="J21" s="149"/>
      <c r="K21" s="119"/>
      <c r="L21" s="149"/>
      <c r="M21" s="119"/>
      <c r="N21" s="149"/>
    </row>
    <row r="22" spans="1:17" x14ac:dyDescent="0.25">
      <c r="A22" s="362" t="s">
        <v>32</v>
      </c>
      <c r="D22" s="117"/>
      <c r="E22" s="150"/>
      <c r="F22" s="125"/>
      <c r="G22" s="151"/>
      <c r="H22" s="125"/>
      <c r="I22" s="152"/>
      <c r="J22" s="125"/>
      <c r="K22" s="152"/>
      <c r="L22" s="125"/>
      <c r="M22" s="152"/>
      <c r="N22" s="125"/>
      <c r="Q22" s="79"/>
    </row>
    <row r="23" spans="1:17" x14ac:dyDescent="0.25">
      <c r="A23" s="362"/>
      <c r="B23" s="79" t="s">
        <v>86</v>
      </c>
      <c r="E23" s="117"/>
      <c r="F23" s="134"/>
      <c r="G23" s="153"/>
      <c r="H23" s="134"/>
      <c r="I23" s="117"/>
      <c r="J23" s="134"/>
      <c r="K23" s="117"/>
      <c r="L23" s="134"/>
      <c r="M23" s="117"/>
      <c r="N23" s="134"/>
      <c r="Q23" s="79"/>
    </row>
    <row r="24" spans="1:17" x14ac:dyDescent="0.25">
      <c r="A24" s="362"/>
      <c r="C24" s="79" t="s">
        <v>237</v>
      </c>
      <c r="E24" s="216">
        <v>0</v>
      </c>
      <c r="G24" s="137">
        <f>'Core Calculations'!B74</f>
        <v>99775</v>
      </c>
      <c r="H24" s="125">
        <f>IFERROR(G24/$G$48,0)</f>
        <v>3.9953449376196611E-2</v>
      </c>
      <c r="I24" s="137">
        <f>'Core Calculations'!C74</f>
        <v>317233.33333333337</v>
      </c>
      <c r="J24" s="125">
        <f>IFERROR(I24/$I$48,0)</f>
        <v>8.149228410340667E-2</v>
      </c>
      <c r="K24" s="137">
        <f>'Core Calculations'!D74</f>
        <v>596091.66666666686</v>
      </c>
      <c r="L24" s="125">
        <f>IFERROR(K24/$K$48,0)</f>
        <v>0.10877729896801397</v>
      </c>
      <c r="M24" s="137">
        <f>'Core Calculations'!E74</f>
        <v>936350.00000000012</v>
      </c>
      <c r="N24" s="125">
        <f>IFERROR(M24/$M$48,0)</f>
        <v>0.12904400206149752</v>
      </c>
      <c r="Q24" s="79"/>
    </row>
    <row r="25" spans="1:17" x14ac:dyDescent="0.25">
      <c r="A25" s="362"/>
      <c r="C25" s="116" t="s">
        <v>63</v>
      </c>
      <c r="E25" s="216">
        <v>0</v>
      </c>
      <c r="F25" s="125"/>
      <c r="G25" s="154">
        <f>'Core Calculations'!B70</f>
        <v>1279.6875</v>
      </c>
      <c r="H25" s="125">
        <f>IFERROR(G25/$G$48,0)</f>
        <v>5.1243227009372695E-4</v>
      </c>
      <c r="I25" s="154">
        <f>'Core Calculations'!C70</f>
        <v>4068.75</v>
      </c>
      <c r="J25" s="125">
        <f>IFERROR(I25/$I$48,0)</f>
        <v>1.0451982692415757E-3</v>
      </c>
      <c r="K25" s="154">
        <f>'Core Calculations'!D70</f>
        <v>7645.3125000000018</v>
      </c>
      <c r="L25" s="125">
        <f>IFERROR(K25/$K$48,0)</f>
        <v>1.3951485820408956E-3</v>
      </c>
      <c r="M25" s="154">
        <f>'Core Calculations'!E70</f>
        <v>12009.375000000002</v>
      </c>
      <c r="N25" s="125">
        <f>IFERROR(M25/$M$48,0)</f>
        <v>1.655083902661715E-3</v>
      </c>
      <c r="Q25" s="79"/>
    </row>
    <row r="26" spans="1:17" hidden="1" x14ac:dyDescent="0.25">
      <c r="A26" s="362"/>
      <c r="C26" s="79" t="s">
        <v>65</v>
      </c>
      <c r="E26" s="222">
        <v>0</v>
      </c>
      <c r="F26" s="125"/>
      <c r="G26" s="154">
        <f>(1-IF($E$79&gt;0,$E$79,$E$68))*G6</f>
        <v>0</v>
      </c>
      <c r="H26" s="125">
        <f>IFERROR(G26/$G$48,0)</f>
        <v>0</v>
      </c>
      <c r="I26" s="154">
        <f>(1-IF($E$79&gt;0,$E$79,$E$68))*I6</f>
        <v>0</v>
      </c>
      <c r="J26" s="125">
        <f>IFERROR(I26/$I$48,0)</f>
        <v>0</v>
      </c>
      <c r="K26" s="154">
        <f>(1-IF($E$79&gt;0,$E$79,$E$68))*K6</f>
        <v>0</v>
      </c>
      <c r="L26" s="125">
        <f>IFERROR(K26/$K$48,0)</f>
        <v>0</v>
      </c>
      <c r="M26" s="154">
        <f>(1-IF($E$79&gt;0,$E$79,$E$68))*M6</f>
        <v>0</v>
      </c>
      <c r="N26" s="125">
        <f>IFERROR(M26/$M$48,0)</f>
        <v>0</v>
      </c>
      <c r="Q26" s="79"/>
    </row>
    <row r="27" spans="1:17" x14ac:dyDescent="0.25">
      <c r="A27" s="362"/>
      <c r="D27" s="117" t="s">
        <v>31</v>
      </c>
      <c r="E27" s="155">
        <f>SUM(E24:E26)</f>
        <v>0</v>
      </c>
      <c r="F27" s="134"/>
      <c r="G27" s="156">
        <f>SUM(G24:G26)</f>
        <v>101054.6875</v>
      </c>
      <c r="H27" s="125">
        <f>IFERROR(G27/$G$48,0)</f>
        <v>4.0465881646290343E-2</v>
      </c>
      <c r="I27" s="156">
        <f>SUM(I24:I26)</f>
        <v>321302.08333333337</v>
      </c>
      <c r="J27" s="125">
        <f>IFERROR(I27/$I$48,0)</f>
        <v>8.2537482372648241E-2</v>
      </c>
      <c r="K27" s="156">
        <f>SUM(K24:K26)</f>
        <v>603736.97916666686</v>
      </c>
      <c r="L27" s="125">
        <f>IFERROR(K27/$K$48,0)</f>
        <v>0.11017244755005487</v>
      </c>
      <c r="M27" s="156">
        <f>SUM(M24:M26)</f>
        <v>948359.37500000012</v>
      </c>
      <c r="N27" s="125">
        <f>IFERROR(M27/$M$48,0)</f>
        <v>0.13069908596415925</v>
      </c>
      <c r="Q27" s="79"/>
    </row>
    <row r="28" spans="1:17" x14ac:dyDescent="0.25">
      <c r="A28" s="362"/>
      <c r="B28" s="79" t="s">
        <v>85</v>
      </c>
      <c r="E28" s="157"/>
      <c r="F28" s="134"/>
      <c r="G28" s="117"/>
      <c r="H28" s="134"/>
      <c r="I28" s="155"/>
      <c r="J28" s="134"/>
      <c r="K28" s="117"/>
      <c r="L28" s="134"/>
      <c r="M28" s="117"/>
      <c r="N28" s="134"/>
      <c r="Q28" s="79"/>
    </row>
    <row r="29" spans="1:17" x14ac:dyDescent="0.25">
      <c r="A29" s="362"/>
      <c r="C29" s="79" t="s">
        <v>148</v>
      </c>
      <c r="E29" s="223">
        <v>0</v>
      </c>
      <c r="F29" s="125">
        <f>IFERROR(E29/$E$48,0)</f>
        <v>0</v>
      </c>
      <c r="G29" s="156">
        <f>'Core Calculations'!B69+'Core Calculations'!B73</f>
        <v>198554.6875</v>
      </c>
      <c r="H29" s="125">
        <f>IFERROR(G29/$G$48,0)</f>
        <v>7.9508340320098111E-2</v>
      </c>
      <c r="I29" s="156">
        <f>'Core Calculations'!C69+'Core Calculations'!C73</f>
        <v>286575.52083333331</v>
      </c>
      <c r="J29" s="125">
        <f>IFERROR(I29/$I$48,0)</f>
        <v>7.3616771338126719E-2</v>
      </c>
      <c r="K29" s="156">
        <f>'Core Calculations'!D69+'Core Calculations'!D73</f>
        <v>384414.0625</v>
      </c>
      <c r="L29" s="125">
        <f>IFERROR(K29/$K$48,0)</f>
        <v>7.0149484957410843E-2</v>
      </c>
      <c r="M29" s="156">
        <f>'Core Calculations'!E69+'Core Calculations'!E73</f>
        <v>490377.60416666674</v>
      </c>
      <c r="N29" s="125">
        <f>IFERROR(M29/$M$48,0)</f>
        <v>6.7581874900406416E-2</v>
      </c>
      <c r="P29" s="158"/>
      <c r="Q29" s="79"/>
    </row>
    <row r="30" spans="1:17" s="80" customFormat="1" x14ac:dyDescent="0.25">
      <c r="A30" s="362"/>
      <c r="C30" s="80" t="s">
        <v>69</v>
      </c>
      <c r="E30" s="224">
        <v>0</v>
      </c>
      <c r="F30" s="125">
        <f>IFERROR(E30/$E$48,0)</f>
        <v>0</v>
      </c>
      <c r="G30" s="159">
        <f>'Core Calculations'!B71</f>
        <v>87140.625</v>
      </c>
      <c r="H30" s="125">
        <f>IFERROR(G30/$G$48,0)</f>
        <v>3.4894197439715689E-2</v>
      </c>
      <c r="I30" s="159">
        <f>'Core Calculations'!C71</f>
        <v>277062.50000000012</v>
      </c>
      <c r="J30" s="125">
        <f>IFERROR(I30/$I$48,0)</f>
        <v>7.1173025000735898E-2</v>
      </c>
      <c r="K30" s="159">
        <f>'Core Calculations'!D71</f>
        <v>520609.37500000035</v>
      </c>
      <c r="L30" s="125">
        <f>IFERROR(K30/$K$48,0)</f>
        <v>9.5002974872308646E-2</v>
      </c>
      <c r="M30" s="159">
        <f>'Core Calculations'!E71</f>
        <v>817781.25000000012</v>
      </c>
      <c r="N30" s="125">
        <f>IFERROR(M30/$M$48,0)</f>
        <v>0.11270333241934535</v>
      </c>
      <c r="P30" s="160"/>
    </row>
    <row r="31" spans="1:17" x14ac:dyDescent="0.25">
      <c r="A31" s="362"/>
      <c r="C31" s="101" t="s">
        <v>37</v>
      </c>
      <c r="E31" s="93" t="s">
        <v>20</v>
      </c>
      <c r="F31" s="125"/>
      <c r="G31" s="154">
        <f>'Core Calculations'!B76</f>
        <v>15000</v>
      </c>
      <c r="H31" s="125">
        <f>IFERROR(G31/$G$48,0)</f>
        <v>6.0065321036627331E-3</v>
      </c>
      <c r="I31" s="154">
        <f>'Core Calculations'!C76</f>
        <v>20000.000000000011</v>
      </c>
      <c r="J31" s="125">
        <f>IFERROR(I31/$I$48,0)</f>
        <v>5.1376873449662727E-3</v>
      </c>
      <c r="K31" s="154">
        <f>'Core Calculations'!D76</f>
        <v>24999.999999999996</v>
      </c>
      <c r="L31" s="125">
        <f>IFERROR(K31/$K$48,0)</f>
        <v>4.5621044988052974E-3</v>
      </c>
      <c r="M31" s="154">
        <f>'Core Calculations'!E76</f>
        <v>30000</v>
      </c>
      <c r="N31" s="125">
        <f>IFERROR(M31/$M$48,0)</f>
        <v>4.1344796943930421E-3</v>
      </c>
      <c r="Q31" s="79"/>
    </row>
    <row r="32" spans="1:17" x14ac:dyDescent="0.25">
      <c r="A32" s="362"/>
      <c r="D32" s="117" t="s">
        <v>31</v>
      </c>
      <c r="E32" s="161">
        <f>SUM(E29:E31)</f>
        <v>0</v>
      </c>
      <c r="F32" s="125">
        <f>IFERROR(E32/$E$48,0)</f>
        <v>0</v>
      </c>
      <c r="G32" s="162">
        <f>SUM(G29:G31)</f>
        <v>300695.3125</v>
      </c>
      <c r="H32" s="125">
        <f>IFERROR(G32/$G$48,0)</f>
        <v>0.12040906986347653</v>
      </c>
      <c r="I32" s="162">
        <f>SUM(I29:I31)</f>
        <v>583638.02083333349</v>
      </c>
      <c r="J32" s="125">
        <f>IFERROR(I32/$I$48,0)</f>
        <v>0.14992748368382888</v>
      </c>
      <c r="K32" s="162">
        <f>SUM(K29:K31)</f>
        <v>930023.43750000035</v>
      </c>
      <c r="L32" s="125">
        <f>IFERROR(K32/$K$48,0)</f>
        <v>0.1697145643285248</v>
      </c>
      <c r="M32" s="162">
        <f>SUM(M29:M31)</f>
        <v>1338158.854166667</v>
      </c>
      <c r="N32" s="125">
        <f>IFERROR(M32/$M$48,0)</f>
        <v>0.18441968701414482</v>
      </c>
      <c r="Q32" s="79"/>
    </row>
    <row r="33" spans="1:17" x14ac:dyDescent="0.25">
      <c r="A33" s="362"/>
      <c r="E33" s="162"/>
      <c r="F33" s="134"/>
      <c r="G33" s="162"/>
      <c r="H33" s="163"/>
      <c r="I33" s="162"/>
      <c r="J33" s="163"/>
      <c r="K33" s="162"/>
      <c r="L33" s="163"/>
      <c r="M33" s="162"/>
      <c r="N33" s="163"/>
      <c r="Q33" s="79"/>
    </row>
    <row r="34" spans="1:17" hidden="1" x14ac:dyDescent="0.25">
      <c r="A34" s="362"/>
      <c r="D34" s="117" t="s">
        <v>153</v>
      </c>
      <c r="E34" s="150">
        <v>0</v>
      </c>
      <c r="F34" s="134"/>
      <c r="G34" s="164">
        <f>IFERROR(G29/$E$36,0)</f>
        <v>2.6473958333333334</v>
      </c>
      <c r="H34" s="165"/>
      <c r="I34" s="164">
        <f>IFERROR(I29/$E$36,0)</f>
        <v>3.8210069444444441</v>
      </c>
      <c r="J34" s="165"/>
      <c r="K34" s="164">
        <f>IFERROR(K29/$E$36,0)</f>
        <v>5.1255208333333337</v>
      </c>
      <c r="L34" s="165"/>
      <c r="M34" s="164">
        <f>IFERROR(M29/$E$36,0)</f>
        <v>6.5383680555555568</v>
      </c>
      <c r="N34" s="163"/>
      <c r="P34" s="166"/>
      <c r="Q34" s="79"/>
    </row>
    <row r="35" spans="1:17" hidden="1" x14ac:dyDescent="0.25">
      <c r="A35" s="362"/>
      <c r="D35" s="117" t="s">
        <v>154</v>
      </c>
      <c r="E35" s="150">
        <v>0</v>
      </c>
      <c r="G35" s="164">
        <f>IFERROR(G30/$E$37,0)</f>
        <v>1.45234375</v>
      </c>
      <c r="H35" s="163"/>
      <c r="I35" s="164">
        <f>IFERROR(I30/$E$37,0)</f>
        <v>4.6177083333333355</v>
      </c>
      <c r="J35" s="163"/>
      <c r="K35" s="164">
        <f>IFERROR(K30/$E$37,0)</f>
        <v>8.6768229166666728</v>
      </c>
      <c r="L35" s="163"/>
      <c r="M35" s="164">
        <f>IFERROR(M30/$E$37,0)</f>
        <v>13.629687500000001</v>
      </c>
      <c r="N35" s="163"/>
      <c r="P35" s="119"/>
      <c r="Q35" s="79"/>
    </row>
    <row r="36" spans="1:17" hidden="1" x14ac:dyDescent="0.25">
      <c r="A36" s="362"/>
      <c r="D36" s="117" t="s">
        <v>47</v>
      </c>
      <c r="E36" s="225">
        <f>'Key Variables'!C36</f>
        <v>75000</v>
      </c>
      <c r="F36" s="125" t="s">
        <v>40</v>
      </c>
      <c r="G36" s="162"/>
      <c r="H36" s="163"/>
      <c r="I36" s="162"/>
      <c r="J36" s="163"/>
      <c r="K36" s="162"/>
      <c r="L36" s="163"/>
      <c r="M36" s="162"/>
      <c r="N36" s="163"/>
      <c r="Q36" s="79"/>
    </row>
    <row r="37" spans="1:17" hidden="1" x14ac:dyDescent="0.25">
      <c r="A37" s="362"/>
      <c r="D37" s="117" t="s">
        <v>48</v>
      </c>
      <c r="E37" s="225">
        <f>'Key Variables'!C37</f>
        <v>60000</v>
      </c>
      <c r="F37" s="125" t="s">
        <v>40</v>
      </c>
      <c r="G37" s="162"/>
      <c r="H37" s="163"/>
      <c r="I37" s="162"/>
      <c r="J37" s="163"/>
      <c r="K37" s="162"/>
      <c r="L37" s="163"/>
      <c r="M37" s="162"/>
      <c r="N37" s="163"/>
      <c r="Q37" s="79"/>
    </row>
    <row r="38" spans="1:17" hidden="1" x14ac:dyDescent="0.25">
      <c r="A38" s="362"/>
      <c r="E38" s="156"/>
      <c r="F38" s="134"/>
      <c r="G38" s="119"/>
      <c r="H38" s="134"/>
      <c r="I38" s="156"/>
      <c r="J38" s="134"/>
      <c r="K38" s="156"/>
      <c r="L38" s="134"/>
      <c r="M38" s="156"/>
      <c r="N38" s="134"/>
      <c r="Q38" s="79"/>
    </row>
    <row r="39" spans="1:17" hidden="1" x14ac:dyDescent="0.25">
      <c r="A39" s="362"/>
      <c r="B39" s="79" t="s">
        <v>66</v>
      </c>
      <c r="E39" s="117"/>
      <c r="F39" s="134"/>
      <c r="G39" s="117"/>
      <c r="H39" s="134"/>
      <c r="I39" s="117"/>
      <c r="J39" s="134"/>
      <c r="K39" s="117"/>
      <c r="L39" s="134"/>
      <c r="M39" s="117"/>
      <c r="N39" s="134"/>
      <c r="Q39" s="79"/>
    </row>
    <row r="40" spans="1:17" x14ac:dyDescent="0.25">
      <c r="A40" s="362"/>
      <c r="B40" s="79" t="s">
        <v>399</v>
      </c>
      <c r="E40" s="221">
        <v>0</v>
      </c>
      <c r="F40" s="125">
        <f>IFERROR(E40/$E$48,0)</f>
        <v>0</v>
      </c>
      <c r="G40" s="137">
        <f>(1-'Key Variables'!$C$29)*G20</f>
        <v>1687500</v>
      </c>
      <c r="H40" s="125">
        <f>IFERROR(G40/$G$48,0)</f>
        <v>0.67573486166205754</v>
      </c>
      <c r="I40" s="137">
        <f>(1-'Key Variables'!$C$29)*I20</f>
        <v>2250000</v>
      </c>
      <c r="J40" s="125">
        <f>IFERROR(I40/$I$48,0)</f>
        <v>0.57798982630870543</v>
      </c>
      <c r="K40" s="137">
        <f>(1-'Key Variables'!$C$29)*K20</f>
        <v>2812500</v>
      </c>
      <c r="L40" s="125">
        <f>IFERROR(K40/$K$48,0)</f>
        <v>0.51323675611559605</v>
      </c>
      <c r="M40" s="137">
        <f>(1-'Key Variables'!$C$29)*M20</f>
        <v>3375000</v>
      </c>
      <c r="N40" s="125">
        <f>IFERROR(M40/$M$48,0)</f>
        <v>0.46512896561921724</v>
      </c>
      <c r="Q40" s="79"/>
    </row>
    <row r="41" spans="1:17" x14ac:dyDescent="0.25">
      <c r="E41" s="117"/>
      <c r="F41" s="134"/>
      <c r="G41" s="117"/>
      <c r="H41" s="134"/>
      <c r="I41" s="117"/>
      <c r="J41" s="134"/>
      <c r="K41" s="117"/>
      <c r="L41" s="134"/>
      <c r="M41" s="117"/>
      <c r="N41" s="134"/>
      <c r="Q41" s="79"/>
    </row>
    <row r="42" spans="1:17" ht="15.75" customHeight="1" x14ac:dyDescent="0.25">
      <c r="A42" s="362" t="s">
        <v>33</v>
      </c>
      <c r="B42" s="79" t="s">
        <v>14</v>
      </c>
      <c r="E42" s="119"/>
      <c r="F42" s="125"/>
      <c r="G42" s="167"/>
      <c r="H42" s="125"/>
      <c r="I42" s="167"/>
      <c r="J42" s="125"/>
      <c r="K42" s="167"/>
      <c r="L42" s="125"/>
      <c r="M42" s="167"/>
      <c r="N42" s="125"/>
      <c r="Q42" s="79"/>
    </row>
    <row r="43" spans="1:17" x14ac:dyDescent="0.25">
      <c r="A43" s="362"/>
      <c r="D43" s="79" t="s">
        <v>157</v>
      </c>
      <c r="E43" s="216">
        <v>0</v>
      </c>
      <c r="F43" s="125">
        <f>IFERROR(E43/$E$48,0)</f>
        <v>0</v>
      </c>
      <c r="G43" s="136">
        <f>($E$43+$E99)+'Key Variables'!G15</f>
        <v>499456.25</v>
      </c>
      <c r="H43" s="125">
        <f>IFERROR(G43/$G$48,0)</f>
        <v>0.2</v>
      </c>
      <c r="I43" s="136">
        <f>($E$43+($E99*2))+'Key Variables'!H15</f>
        <v>778560.41666666674</v>
      </c>
      <c r="J43" s="125">
        <f>IFERROR(I43/$I$48,0)</f>
        <v>0.2</v>
      </c>
      <c r="K43" s="136">
        <f>($E$43+($E99*3))+'Key Variables'!J15</f>
        <v>821989.06250000012</v>
      </c>
      <c r="L43" s="125">
        <f>IFERROR(K43/$K$48,0)</f>
        <v>0.15</v>
      </c>
      <c r="M43" s="136">
        <f>($E$43+($E99*4))+'Key Variables'!K15</f>
        <v>1088407.8125</v>
      </c>
      <c r="N43" s="125">
        <f>IFERROR(M43/$M$48,0)</f>
        <v>0.15</v>
      </c>
      <c r="Q43" s="79"/>
    </row>
    <row r="44" spans="1:17" x14ac:dyDescent="0.25">
      <c r="A44" s="362"/>
      <c r="D44" s="79" t="s">
        <v>156</v>
      </c>
      <c r="E44" s="216">
        <v>0</v>
      </c>
      <c r="F44" s="125">
        <f>IFERROR(E44/$E$48,0)</f>
        <v>0</v>
      </c>
      <c r="G44" s="140">
        <f>'Key Variables'!G18+E44</f>
        <v>75000</v>
      </c>
      <c r="H44" s="125">
        <f>IFERROR(G44/$G$48,0)</f>
        <v>3.0032660518313666E-2</v>
      </c>
      <c r="I44" s="140">
        <f>'Key Variables'!H18+E44</f>
        <v>75000</v>
      </c>
      <c r="J44" s="125">
        <f>IFERROR(I44/$I$48,0)</f>
        <v>1.9266327543623514E-2</v>
      </c>
      <c r="K44" s="140">
        <f>'Key Variables'!J18+E44</f>
        <v>75000</v>
      </c>
      <c r="L44" s="125">
        <f>IFERROR(K44/$K$48,0)</f>
        <v>1.3686313496415895E-2</v>
      </c>
      <c r="M44" s="140">
        <f>'Key Variables'!K18+E44</f>
        <v>75000</v>
      </c>
      <c r="N44" s="125">
        <f>IFERROR(M44/$M$48,0)</f>
        <v>1.0336199235982606E-2</v>
      </c>
      <c r="Q44" s="79"/>
    </row>
    <row r="45" spans="1:17" hidden="1" x14ac:dyDescent="0.25">
      <c r="A45" s="362"/>
      <c r="D45" s="79" t="s">
        <v>50</v>
      </c>
      <c r="E45" s="222">
        <v>0</v>
      </c>
      <c r="F45" s="125">
        <f>IFERROR(E45/$E$48,0)</f>
        <v>0</v>
      </c>
      <c r="G45" s="140">
        <f>E45+'"Fine Tune" Variables'!G4</f>
        <v>0</v>
      </c>
      <c r="H45" s="125">
        <f>IFERROR(G45/$G$48,0)</f>
        <v>0</v>
      </c>
      <c r="I45" s="140">
        <f>E45+'"Fine Tune" Variables'!H4</f>
        <v>0</v>
      </c>
      <c r="J45" s="125">
        <f>IFERROR(I45/$I$48,0)</f>
        <v>0</v>
      </c>
      <c r="K45" s="140">
        <f>E45+'"Fine Tune" Variables'!I4</f>
        <v>0</v>
      </c>
      <c r="L45" s="125">
        <f>IFERROR(K45/$K$48,0)</f>
        <v>0</v>
      </c>
      <c r="M45" s="140">
        <f>E45+'"Fine Tune" Variables'!J4</f>
        <v>0</v>
      </c>
      <c r="N45" s="125">
        <f>IFERROR(M45/$M$48,0)</f>
        <v>0</v>
      </c>
      <c r="Q45" s="79"/>
    </row>
    <row r="46" spans="1:17" x14ac:dyDescent="0.25">
      <c r="A46" s="362"/>
      <c r="D46" s="117" t="s">
        <v>15</v>
      </c>
      <c r="E46" s="112">
        <f>SUM(E43:E45)</f>
        <v>0</v>
      </c>
      <c r="F46" s="125">
        <f>IFERROR(E46/$E$48,0)</f>
        <v>0</v>
      </c>
      <c r="G46" s="118">
        <f>SUM(G43:G45)</f>
        <v>574456.25</v>
      </c>
      <c r="H46" s="125">
        <f>IFERROR(G46/$G$48,0)</f>
        <v>0.23003266051831367</v>
      </c>
      <c r="I46" s="118">
        <f>SUM(I43:I45)</f>
        <v>853560.41666666674</v>
      </c>
      <c r="J46" s="125">
        <f>IFERROR(I46/$I$48,0)</f>
        <v>0.21926632754362352</v>
      </c>
      <c r="K46" s="118">
        <f>SUM(K43:K45)</f>
        <v>896989.06250000012</v>
      </c>
      <c r="L46" s="125">
        <f>IFERROR(K46/$K$48,0)</f>
        <v>0.16368631349641591</v>
      </c>
      <c r="M46" s="118">
        <f>SUM(M43:M45)</f>
        <v>1163407.8125</v>
      </c>
      <c r="N46" s="125">
        <f>IFERROR(M46/$M$48,0)</f>
        <v>0.16033619923598258</v>
      </c>
      <c r="Q46" s="79"/>
    </row>
    <row r="47" spans="1:17" x14ac:dyDescent="0.25">
      <c r="E47" s="119"/>
      <c r="F47" s="149"/>
      <c r="G47" s="119"/>
      <c r="H47" s="149"/>
      <c r="I47" s="119"/>
      <c r="J47" s="149"/>
      <c r="K47" s="119"/>
      <c r="L47" s="149"/>
      <c r="M47" s="119"/>
      <c r="N47" s="149"/>
      <c r="Q47" s="79"/>
    </row>
    <row r="48" spans="1:17" x14ac:dyDescent="0.25">
      <c r="B48" s="79" t="s">
        <v>0</v>
      </c>
      <c r="E48" s="112">
        <f>E7+E12+E20</f>
        <v>0</v>
      </c>
      <c r="F48" s="149"/>
      <c r="G48" s="118">
        <f>G7+G12+G20</f>
        <v>2497281.25</v>
      </c>
      <c r="I48" s="118">
        <f>I7+I12+I20</f>
        <v>3892802.0833333335</v>
      </c>
      <c r="K48" s="118">
        <f>K7+K12+K20</f>
        <v>5479927.083333334</v>
      </c>
      <c r="M48" s="118">
        <f>M7+M12+M20</f>
        <v>7256052.083333334</v>
      </c>
      <c r="N48" s="119"/>
      <c r="Q48" s="79"/>
    </row>
    <row r="49" spans="1:18" x14ac:dyDescent="0.25">
      <c r="B49" s="79" t="s">
        <v>1</v>
      </c>
      <c r="E49" s="112">
        <f>E27+E32+E40+E46</f>
        <v>0</v>
      </c>
      <c r="F49" s="149"/>
      <c r="G49" s="118">
        <f>G27+G32+G40+G46</f>
        <v>2663706.25</v>
      </c>
      <c r="I49" s="118">
        <f>I27+I32+I40+I46</f>
        <v>4008500.520833334</v>
      </c>
      <c r="K49" s="118">
        <f>K27+K32+K40+K46</f>
        <v>5243249.479166667</v>
      </c>
      <c r="M49" s="118">
        <f>M27+M32+M40+M46</f>
        <v>6824926.041666667</v>
      </c>
      <c r="N49" s="119"/>
      <c r="Q49" s="79"/>
    </row>
    <row r="50" spans="1:18" x14ac:dyDescent="0.25">
      <c r="E50" s="119"/>
      <c r="G50" s="119"/>
      <c r="I50" s="119"/>
      <c r="K50" s="119"/>
      <c r="M50" s="118"/>
      <c r="Q50" s="79"/>
    </row>
    <row r="51" spans="1:18" x14ac:dyDescent="0.25">
      <c r="B51" s="79" t="s">
        <v>188</v>
      </c>
      <c r="E51" s="169">
        <f>E48-E49</f>
        <v>0</v>
      </c>
      <c r="F51" s="170"/>
      <c r="G51" s="171">
        <f>G48-G49</f>
        <v>-166425</v>
      </c>
      <c r="H51" s="170"/>
      <c r="I51" s="171">
        <f>I48-I49</f>
        <v>-115698.43750000047</v>
      </c>
      <c r="J51" s="170"/>
      <c r="K51" s="171">
        <f>K48-K49</f>
        <v>236677.60416666698</v>
      </c>
      <c r="L51" s="170"/>
      <c r="M51" s="171">
        <f>M48-M49</f>
        <v>431126.04166666698</v>
      </c>
      <c r="Q51" s="79"/>
    </row>
    <row r="52" spans="1:18" x14ac:dyDescent="0.25">
      <c r="G52" s="119"/>
    </row>
    <row r="53" spans="1:18" x14ac:dyDescent="0.25">
      <c r="B53" s="79" t="s">
        <v>189</v>
      </c>
      <c r="G53" s="125">
        <f>G51/G48</f>
        <v>-6.6642473690138024E-2</v>
      </c>
      <c r="I53" s="125">
        <f>I51/I48</f>
        <v>-2.9721119908806166E-2</v>
      </c>
      <c r="K53" s="125">
        <f>K51/K48</f>
        <v>4.318991850940844E-2</v>
      </c>
      <c r="M53" s="125">
        <f>M51/M48</f>
        <v>5.9416062166496107E-2</v>
      </c>
    </row>
    <row r="54" spans="1:18" x14ac:dyDescent="0.25">
      <c r="G54" s="119"/>
    </row>
    <row r="55" spans="1:18" x14ac:dyDescent="0.25">
      <c r="B55" s="79" t="s">
        <v>165</v>
      </c>
      <c r="E55" s="172"/>
      <c r="F55" s="149"/>
      <c r="G55" s="125">
        <f>(G48-(G27+G32+G40))/G48</f>
        <v>0.16339018682817563</v>
      </c>
      <c r="I55" s="125">
        <f>(I48-(I27+I32+I40))/I48</f>
        <v>0.18954520763481741</v>
      </c>
      <c r="K55" s="125">
        <f>(K48-(K27+K32+K40))/K48</f>
        <v>0.20687623200582431</v>
      </c>
      <c r="M55" s="125">
        <f>(M48-(M27+M32+M40))/M48</f>
        <v>0.21975226140247869</v>
      </c>
      <c r="P55" s="101"/>
      <c r="Q55" s="120"/>
      <c r="R55" s="101"/>
    </row>
    <row r="56" spans="1:18" x14ac:dyDescent="0.25">
      <c r="F56" s="173"/>
      <c r="G56" s="174"/>
      <c r="H56" s="80"/>
      <c r="I56" s="174"/>
      <c r="K56" s="174"/>
      <c r="M56" s="174"/>
      <c r="N56" s="168"/>
      <c r="P56" s="101"/>
      <c r="Q56" s="120"/>
      <c r="R56" s="101"/>
    </row>
    <row r="57" spans="1:18" x14ac:dyDescent="0.25">
      <c r="D57" s="116"/>
      <c r="E57" s="126"/>
      <c r="F57" s="149"/>
      <c r="G57" s="118"/>
      <c r="I57" s="118"/>
      <c r="K57" s="118"/>
      <c r="M57" s="118"/>
      <c r="N57" s="168"/>
      <c r="P57" s="101"/>
      <c r="Q57" s="120"/>
      <c r="R57" s="101"/>
    </row>
    <row r="58" spans="1:18" ht="15" hidden="1" customHeight="1" x14ac:dyDescent="0.25">
      <c r="D58" s="117" t="s">
        <v>52</v>
      </c>
      <c r="E58" s="112">
        <f>IFERROR((#REF!+E9)/#REF!,0)</f>
        <v>0</v>
      </c>
      <c r="G58" s="118"/>
      <c r="I58" s="118"/>
      <c r="K58" s="118"/>
      <c r="M58" s="118"/>
      <c r="Q58" s="79"/>
    </row>
    <row r="59" spans="1:18" hidden="1" x14ac:dyDescent="0.25">
      <c r="D59" s="117" t="s">
        <v>51</v>
      </c>
      <c r="E59" s="175">
        <f>IFERROR((#REF!+E10)/12/#REF!,0)</f>
        <v>0</v>
      </c>
      <c r="G59" s="158"/>
      <c r="I59" s="158"/>
      <c r="K59" s="158"/>
      <c r="M59" s="158"/>
      <c r="N59" s="118"/>
      <c r="Q59" s="79"/>
    </row>
    <row r="60" spans="1:18" hidden="1" x14ac:dyDescent="0.25">
      <c r="E60" s="119"/>
    </row>
    <row r="61" spans="1:18" hidden="1" x14ac:dyDescent="0.25">
      <c r="A61" s="362" t="s">
        <v>39</v>
      </c>
      <c r="B61" s="176" t="s">
        <v>61</v>
      </c>
      <c r="C61" s="176"/>
      <c r="D61" s="176"/>
      <c r="E61" s="176"/>
      <c r="F61" s="176"/>
      <c r="G61" s="176"/>
    </row>
    <row r="62" spans="1:18" hidden="1" x14ac:dyDescent="0.25">
      <c r="A62" s="362"/>
      <c r="B62" s="176"/>
      <c r="C62" s="176" t="s">
        <v>68</v>
      </c>
      <c r="D62" s="176"/>
      <c r="E62" s="177">
        <f>IFERROR((1-(#REF!/#REF!)),0.4)</f>
        <v>0.4</v>
      </c>
      <c r="F62" s="176" t="s">
        <v>54</v>
      </c>
      <c r="G62" s="178"/>
      <c r="I62" s="139"/>
      <c r="Q62" s="79"/>
    </row>
    <row r="63" spans="1:18" hidden="1" x14ac:dyDescent="0.25">
      <c r="A63" s="362"/>
      <c r="B63" s="176"/>
      <c r="C63" s="176" t="s">
        <v>67</v>
      </c>
      <c r="D63" s="176"/>
      <c r="E63" s="177">
        <f>IFERROR((1-(#REF!/(#REF!))),0.45)</f>
        <v>0.45</v>
      </c>
      <c r="F63" s="176" t="s">
        <v>54</v>
      </c>
      <c r="G63" s="178"/>
      <c r="I63" s="139"/>
      <c r="Q63" s="79"/>
    </row>
    <row r="64" spans="1:18" hidden="1" x14ac:dyDescent="0.25">
      <c r="A64" s="362"/>
      <c r="B64" s="176"/>
      <c r="C64" s="176"/>
      <c r="D64" s="179"/>
      <c r="E64" s="180"/>
      <c r="F64" s="176"/>
      <c r="G64" s="176"/>
      <c r="Q64" s="79"/>
    </row>
    <row r="65" spans="1:17" hidden="1" x14ac:dyDescent="0.25">
      <c r="A65" s="362"/>
      <c r="B65" s="176" t="s">
        <v>60</v>
      </c>
      <c r="C65" s="176"/>
      <c r="D65" s="176"/>
      <c r="E65" s="180"/>
      <c r="F65" s="176"/>
      <c r="G65" s="176"/>
      <c r="Q65" s="79"/>
    </row>
    <row r="66" spans="1:17" hidden="1" x14ac:dyDescent="0.25">
      <c r="A66" s="362"/>
      <c r="B66" s="176"/>
      <c r="C66" s="176" t="s">
        <v>59</v>
      </c>
      <c r="D66" s="176"/>
      <c r="E66" s="181">
        <f>IFERROR((1-(#REF!/#REF!)),0)</f>
        <v>0</v>
      </c>
      <c r="F66" s="176" t="s">
        <v>54</v>
      </c>
      <c r="G66" s="176"/>
      <c r="Q66" s="79"/>
    </row>
    <row r="67" spans="1:17" hidden="1" x14ac:dyDescent="0.25">
      <c r="A67" s="362"/>
      <c r="B67" s="176"/>
      <c r="C67" s="176" t="s">
        <v>35</v>
      </c>
      <c r="D67" s="176"/>
      <c r="E67" s="181">
        <f>IFERROR((1-(#REF!/#REF!)),0.75)</f>
        <v>0.75</v>
      </c>
      <c r="F67" s="176" t="s">
        <v>54</v>
      </c>
      <c r="G67" s="182"/>
      <c r="H67" s="125"/>
      <c r="I67" s="125"/>
      <c r="Q67" s="79"/>
    </row>
    <row r="68" spans="1:17" hidden="1" x14ac:dyDescent="0.25">
      <c r="A68" s="362"/>
      <c r="B68" s="176"/>
      <c r="C68" s="176" t="s">
        <v>38</v>
      </c>
      <c r="D68" s="176"/>
      <c r="E68" s="177">
        <f>IFERROR((1-(#REF!/#REF!)),0.1)</f>
        <v>0.1</v>
      </c>
      <c r="F68" s="176" t="s">
        <v>54</v>
      </c>
      <c r="G68" s="178"/>
      <c r="H68" s="125"/>
      <c r="I68" s="125"/>
      <c r="Q68" s="79"/>
    </row>
    <row r="69" spans="1:17" hidden="1" x14ac:dyDescent="0.25">
      <c r="A69" s="362"/>
      <c r="B69" s="176"/>
      <c r="C69" s="176"/>
      <c r="D69" s="176"/>
      <c r="E69" s="177"/>
      <c r="F69" s="176"/>
      <c r="G69" s="178"/>
      <c r="H69" s="125"/>
      <c r="I69" s="125"/>
      <c r="Q69" s="79"/>
    </row>
    <row r="70" spans="1:17" hidden="1" x14ac:dyDescent="0.25">
      <c r="A70" s="362"/>
      <c r="B70" s="176" t="s">
        <v>83</v>
      </c>
      <c r="C70" s="176"/>
      <c r="D70" s="176"/>
      <c r="E70" s="183">
        <f>IFERROR(#REF!/#REF!,0)</f>
        <v>0</v>
      </c>
      <c r="F70" s="176"/>
      <c r="G70" s="178"/>
      <c r="H70" s="125"/>
      <c r="I70" s="125"/>
      <c r="Q70" s="79"/>
    </row>
    <row r="71" spans="1:17" hidden="1" x14ac:dyDescent="0.25">
      <c r="A71" s="362"/>
      <c r="B71" s="176"/>
      <c r="C71" s="176"/>
      <c r="D71" s="179"/>
      <c r="E71" s="180"/>
      <c r="F71" s="176"/>
      <c r="G71" s="176"/>
      <c r="Q71" s="79"/>
    </row>
    <row r="72" spans="1:17" hidden="1" x14ac:dyDescent="0.25">
      <c r="A72" s="362"/>
      <c r="B72" s="176" t="s">
        <v>34</v>
      </c>
      <c r="C72" s="176"/>
      <c r="D72" s="176"/>
      <c r="E72" s="180"/>
      <c r="F72" s="176"/>
      <c r="G72" s="176"/>
      <c r="Q72" s="79"/>
    </row>
    <row r="73" spans="1:17" hidden="1" x14ac:dyDescent="0.25">
      <c r="A73" s="362"/>
      <c r="B73" s="176"/>
      <c r="C73" s="176" t="s">
        <v>53</v>
      </c>
      <c r="D73" s="176"/>
      <c r="E73" s="177">
        <f>IFERROR((1-(E29/E9)),E62)</f>
        <v>0.4</v>
      </c>
      <c r="F73" s="176" t="s">
        <v>54</v>
      </c>
      <c r="G73" s="182"/>
      <c r="I73" s="125"/>
      <c r="K73" s="125"/>
      <c r="M73" s="125"/>
      <c r="Q73" s="79"/>
    </row>
    <row r="74" spans="1:17" hidden="1" x14ac:dyDescent="0.25">
      <c r="A74" s="362"/>
      <c r="B74" s="176"/>
      <c r="C74" s="176" t="s">
        <v>69</v>
      </c>
      <c r="D74" s="176"/>
      <c r="E74" s="177">
        <f>IFERROR((1-(E30/E10)),E63)</f>
        <v>0.45</v>
      </c>
      <c r="F74" s="176" t="s">
        <v>54</v>
      </c>
      <c r="G74" s="176"/>
      <c r="Q74" s="79"/>
    </row>
    <row r="75" spans="1:17" hidden="1" x14ac:dyDescent="0.25">
      <c r="A75" s="362"/>
      <c r="B75" s="176"/>
      <c r="C75" s="176"/>
      <c r="D75" s="176"/>
      <c r="E75" s="177"/>
      <c r="F75" s="176"/>
      <c r="G75" s="176"/>
      <c r="Q75" s="79"/>
    </row>
    <row r="76" spans="1:17" hidden="1" x14ac:dyDescent="0.25">
      <c r="A76" s="362"/>
      <c r="B76" s="176" t="s">
        <v>62</v>
      </c>
      <c r="C76" s="176"/>
      <c r="D76" s="176"/>
      <c r="E76" s="180"/>
      <c r="F76" s="176"/>
      <c r="G76" s="176"/>
      <c r="Q76" s="79"/>
    </row>
    <row r="77" spans="1:17" hidden="1" x14ac:dyDescent="0.25">
      <c r="A77" s="362"/>
      <c r="B77" s="176"/>
      <c r="C77" s="176" t="s">
        <v>64</v>
      </c>
      <c r="D77" s="176"/>
      <c r="E77" s="177">
        <f>IFERROR((1-(E24/E4)),0.2)</f>
        <v>0.2</v>
      </c>
      <c r="F77" s="176" t="s">
        <v>54</v>
      </c>
      <c r="G77" s="176"/>
      <c r="I77" s="139"/>
      <c r="K77" s="139"/>
      <c r="M77" s="139"/>
      <c r="Q77" s="79"/>
    </row>
    <row r="78" spans="1:17" hidden="1" x14ac:dyDescent="0.25">
      <c r="A78" s="362"/>
      <c r="B78" s="176"/>
      <c r="C78" s="176" t="s">
        <v>63</v>
      </c>
      <c r="D78" s="176"/>
      <c r="E78" s="177">
        <f>IFERROR((1-(E25/E5)),E67)</f>
        <v>0.75</v>
      </c>
      <c r="F78" s="176" t="s">
        <v>54</v>
      </c>
      <c r="G78" s="176"/>
      <c r="I78" s="139"/>
      <c r="K78" s="139"/>
      <c r="M78" s="139"/>
      <c r="Q78" s="79"/>
    </row>
    <row r="79" spans="1:17" hidden="1" x14ac:dyDescent="0.25">
      <c r="A79" s="362"/>
      <c r="B79" s="176"/>
      <c r="C79" s="176" t="s">
        <v>38</v>
      </c>
      <c r="D79" s="176"/>
      <c r="E79" s="177">
        <f>IFERROR((1-(E26/E6)),E68)</f>
        <v>0.1</v>
      </c>
      <c r="F79" s="176" t="s">
        <v>54</v>
      </c>
      <c r="G79" s="176"/>
      <c r="I79" s="139"/>
      <c r="K79" s="139"/>
      <c r="M79" s="139"/>
      <c r="Q79" s="79"/>
    </row>
    <row r="80" spans="1:17" hidden="1" x14ac:dyDescent="0.25">
      <c r="A80" s="362"/>
      <c r="B80" s="176"/>
      <c r="C80" s="176"/>
      <c r="D80" s="176"/>
      <c r="E80" s="177"/>
      <c r="F80" s="176"/>
      <c r="G80" s="176"/>
      <c r="I80" s="139"/>
      <c r="K80" s="139"/>
      <c r="M80" s="139"/>
      <c r="Q80" s="79"/>
    </row>
    <row r="81" spans="1:17" hidden="1" x14ac:dyDescent="0.25">
      <c r="A81" s="362"/>
      <c r="B81" s="176" t="s">
        <v>84</v>
      </c>
      <c r="C81" s="176"/>
      <c r="D81" s="176"/>
      <c r="E81" s="183">
        <f>IFERROR(E12/E7,0)</f>
        <v>0</v>
      </c>
      <c r="F81" s="176"/>
      <c r="G81" s="176"/>
      <c r="I81" s="139"/>
      <c r="K81" s="139"/>
      <c r="M81" s="139"/>
      <c r="Q81" s="79"/>
    </row>
    <row r="82" spans="1:17" hidden="1" x14ac:dyDescent="0.25">
      <c r="A82" s="362"/>
      <c r="B82" s="176"/>
      <c r="C82" s="176"/>
      <c r="D82" s="176"/>
      <c r="E82" s="180"/>
      <c r="F82" s="176"/>
      <c r="G82" s="176"/>
      <c r="I82" s="139"/>
      <c r="K82" s="139"/>
      <c r="M82" s="139"/>
      <c r="Q82" s="79"/>
    </row>
    <row r="83" spans="1:17" hidden="1" x14ac:dyDescent="0.25">
      <c r="A83" s="362"/>
      <c r="B83" s="176" t="s">
        <v>70</v>
      </c>
      <c r="C83" s="176"/>
      <c r="D83" s="176"/>
      <c r="E83" s="181">
        <f>IFERROR((1-(E40/E20)),0.1)</f>
        <v>0.1</v>
      </c>
      <c r="F83" s="176" t="s">
        <v>54</v>
      </c>
      <c r="G83" s="184"/>
      <c r="I83" s="151"/>
      <c r="K83" s="151"/>
      <c r="M83" s="151"/>
      <c r="Q83" s="79"/>
    </row>
    <row r="84" spans="1:17" hidden="1" x14ac:dyDescent="0.25">
      <c r="D84" s="117"/>
      <c r="Q84" s="79"/>
    </row>
    <row r="85" spans="1:17" hidden="1" x14ac:dyDescent="0.25"/>
    <row r="86" spans="1:17" hidden="1" x14ac:dyDescent="0.25"/>
    <row r="87" spans="1:17" hidden="1" x14ac:dyDescent="0.25">
      <c r="D87" s="117" t="s">
        <v>57</v>
      </c>
      <c r="E87" s="119" t="e">
        <f>#REF!+E12</f>
        <v>#REF!</v>
      </c>
      <c r="G87" s="119" t="e">
        <f>#REF!+G12-G11</f>
        <v>#REF!</v>
      </c>
      <c r="I87" s="119" t="e">
        <f>#REF!+I12-I11</f>
        <v>#REF!</v>
      </c>
      <c r="K87" s="119" t="e">
        <f>#REF!+K12-K11</f>
        <v>#REF!</v>
      </c>
      <c r="M87" s="119" t="e">
        <f>#REF!+M12-M11</f>
        <v>#REF!</v>
      </c>
    </row>
    <row r="88" spans="1:17" hidden="1" x14ac:dyDescent="0.25">
      <c r="D88" s="117" t="s">
        <v>32</v>
      </c>
      <c r="E88" s="118" t="e">
        <f>E32+#REF!</f>
        <v>#REF!</v>
      </c>
      <c r="G88" s="118" t="e">
        <f>G32+#REF!-G31</f>
        <v>#REF!</v>
      </c>
      <c r="I88" s="118" t="e">
        <f>I32+#REF!-I31</f>
        <v>#REF!</v>
      </c>
      <c r="K88" s="118" t="e">
        <f>K32+#REF!-K31</f>
        <v>#REF!</v>
      </c>
      <c r="M88" s="118" t="e">
        <f>M32+#REF!-M31</f>
        <v>#REF!</v>
      </c>
    </row>
    <row r="89" spans="1:17" hidden="1" x14ac:dyDescent="0.25">
      <c r="E89" s="108" t="s">
        <v>7</v>
      </c>
    </row>
    <row r="90" spans="1:17" hidden="1" x14ac:dyDescent="0.25"/>
    <row r="91" spans="1:17" hidden="1" x14ac:dyDescent="0.25">
      <c r="D91" s="117" t="s">
        <v>60</v>
      </c>
      <c r="E91" s="185">
        <f>IFERROR(#REF!/E48,0)</f>
        <v>0</v>
      </c>
    </row>
    <row r="92" spans="1:17" hidden="1" x14ac:dyDescent="0.25">
      <c r="D92" s="117" t="s">
        <v>61</v>
      </c>
      <c r="E92" s="185">
        <f>IFERROR(#REF!/E48,0)</f>
        <v>0</v>
      </c>
    </row>
    <row r="93" spans="1:17" hidden="1" x14ac:dyDescent="0.25">
      <c r="D93" s="117" t="s">
        <v>62</v>
      </c>
      <c r="E93" s="185">
        <f>IFERROR(E7/E48,0)</f>
        <v>0</v>
      </c>
    </row>
    <row r="94" spans="1:17" hidden="1" x14ac:dyDescent="0.25">
      <c r="D94" s="117" t="s">
        <v>34</v>
      </c>
      <c r="E94" s="185">
        <f>IFERROR(E12/E48,0)</f>
        <v>0</v>
      </c>
    </row>
    <row r="95" spans="1:17" hidden="1" x14ac:dyDescent="0.25">
      <c r="D95" s="117" t="s">
        <v>58</v>
      </c>
      <c r="E95" s="185">
        <f>IFERROR(E20/E48,0)</f>
        <v>0</v>
      </c>
    </row>
    <row r="96" spans="1:17" hidden="1" x14ac:dyDescent="0.25"/>
    <row r="97" spans="4:13" hidden="1" x14ac:dyDescent="0.25"/>
    <row r="98" spans="4:13" hidden="1" x14ac:dyDescent="0.25">
      <c r="D98" s="117" t="s">
        <v>92</v>
      </c>
      <c r="E98" s="118">
        <f>E43*($E$91+E92+$E$95)</f>
        <v>0</v>
      </c>
    </row>
    <row r="99" spans="4:13" hidden="1" x14ac:dyDescent="0.25">
      <c r="D99" s="117" t="s">
        <v>93</v>
      </c>
      <c r="E99" s="119">
        <f>'"Fine Tune" Variables'!$C$38*E98</f>
        <v>0</v>
      </c>
      <c r="F99" s="125">
        <f>IFERROR(-E99/E98,0)</f>
        <v>0</v>
      </c>
    </row>
    <row r="100" spans="4:13" hidden="1" x14ac:dyDescent="0.25"/>
    <row r="101" spans="4:13" hidden="1" x14ac:dyDescent="0.25">
      <c r="D101" s="117" t="s">
        <v>94</v>
      </c>
      <c r="E101" s="118" t="e">
        <f>#REF!*($E$91+E92+$E$95)</f>
        <v>#REF!</v>
      </c>
    </row>
    <row r="102" spans="4:13" hidden="1" x14ac:dyDescent="0.25">
      <c r="D102" s="117" t="s">
        <v>95</v>
      </c>
      <c r="E102" s="186" t="e">
        <f>'"Fine Tune" Variables'!$C$38*E101</f>
        <v>#REF!</v>
      </c>
      <c r="F102" s="125">
        <f>IFERROR(-E102/E101,0)</f>
        <v>0</v>
      </c>
    </row>
    <row r="103" spans="4:13" hidden="1" x14ac:dyDescent="0.25"/>
    <row r="104" spans="4:13" hidden="1" x14ac:dyDescent="0.25">
      <c r="D104" s="117" t="s">
        <v>96</v>
      </c>
      <c r="E104" s="119">
        <f>E45*'"Fine Tune" Variables'!C38</f>
        <v>0</v>
      </c>
    </row>
    <row r="105" spans="4:13" hidden="1" x14ac:dyDescent="0.25"/>
    <row r="106" spans="4:13" hidden="1" x14ac:dyDescent="0.25">
      <c r="G106" s="119">
        <f>E45+'"Fine Tune" Variables'!G4+(E104/2)</f>
        <v>0</v>
      </c>
      <c r="I106" s="119">
        <f>E45+'"Fine Tune" Variables'!H4+(E104)</f>
        <v>0</v>
      </c>
      <c r="K106" s="119">
        <f>E45+'"Fine Tune" Variables'!I4+(E104)</f>
        <v>0</v>
      </c>
      <c r="M106" s="119">
        <f>E45+'"Fine Tune" Variables'!J4+(E104)</f>
        <v>0</v>
      </c>
    </row>
    <row r="107" spans="4:13" hidden="1" x14ac:dyDescent="0.25"/>
    <row r="108" spans="4:13" hidden="1" x14ac:dyDescent="0.25">
      <c r="D108" s="117" t="s">
        <v>78</v>
      </c>
      <c r="E108" s="119" t="e">
        <f>#REF!+#REF!</f>
        <v>#REF!</v>
      </c>
      <c r="F108" s="119"/>
      <c r="G108" s="119" t="e">
        <f>#REF!+#REF!</f>
        <v>#REF!</v>
      </c>
      <c r="H108" s="119"/>
      <c r="I108" s="119" t="e">
        <f>#REF!+#REF!</f>
        <v>#REF!</v>
      </c>
      <c r="J108" s="119"/>
      <c r="K108" s="119" t="e">
        <f>#REF!+#REF!</f>
        <v>#REF!</v>
      </c>
      <c r="L108" s="119"/>
      <c r="M108" s="119" t="e">
        <f>#REF!+#REF!</f>
        <v>#REF!</v>
      </c>
    </row>
    <row r="109" spans="4:13" hidden="1" x14ac:dyDescent="0.25">
      <c r="D109" s="117" t="s">
        <v>55</v>
      </c>
      <c r="E109" s="118">
        <f>E7+E12</f>
        <v>0</v>
      </c>
      <c r="F109" s="118"/>
      <c r="G109" s="118">
        <f t="shared" ref="G109:M109" si="0">G7+G12</f>
        <v>622281.25</v>
      </c>
      <c r="H109" s="118"/>
      <c r="I109" s="118">
        <f t="shared" si="0"/>
        <v>1392802.0833333335</v>
      </c>
      <c r="J109" s="118"/>
      <c r="K109" s="118">
        <f t="shared" si="0"/>
        <v>2354927.0833333344</v>
      </c>
      <c r="L109" s="118"/>
      <c r="M109" s="118">
        <f t="shared" si="0"/>
        <v>3506052.083333334</v>
      </c>
    </row>
    <row r="110" spans="4:13" hidden="1" x14ac:dyDescent="0.25"/>
    <row r="111" spans="4:13" hidden="1" x14ac:dyDescent="0.25">
      <c r="D111" s="117" t="s">
        <v>78</v>
      </c>
      <c r="E111" s="119" t="e">
        <f>#REF!+#REF!</f>
        <v>#REF!</v>
      </c>
      <c r="G111" s="119" t="e">
        <f>#REF!+#REF!</f>
        <v>#REF!</v>
      </c>
      <c r="I111" s="119" t="e">
        <f>#REF!+#REF!</f>
        <v>#REF!</v>
      </c>
      <c r="K111" s="119" t="e">
        <f>#REF!+#REF!</f>
        <v>#REF!</v>
      </c>
      <c r="M111" s="119" t="e">
        <f>#REF!+#REF!</f>
        <v>#REF!</v>
      </c>
    </row>
    <row r="112" spans="4:13" hidden="1" x14ac:dyDescent="0.25">
      <c r="D112" s="117" t="s">
        <v>55</v>
      </c>
      <c r="E112" s="118">
        <f>E27+E32</f>
        <v>0</v>
      </c>
      <c r="G112" s="118">
        <f>G27+G32</f>
        <v>401750</v>
      </c>
      <c r="I112" s="118">
        <f>I27+I32</f>
        <v>904940.10416666686</v>
      </c>
      <c r="K112" s="118">
        <f>K27+K32</f>
        <v>1533760.4166666672</v>
      </c>
      <c r="M112" s="118">
        <f>M27+M32</f>
        <v>2286518.229166667</v>
      </c>
    </row>
    <row r="113" spans="4:13" hidden="1" x14ac:dyDescent="0.25"/>
    <row r="114" spans="4:13" hidden="1" x14ac:dyDescent="0.25"/>
    <row r="115" spans="4:13" hidden="1" x14ac:dyDescent="0.25">
      <c r="D115" s="117" t="s">
        <v>106</v>
      </c>
      <c r="E115" s="119" t="e">
        <f>E108+E109-E111-E112</f>
        <v>#REF!</v>
      </c>
      <c r="G115" s="119" t="e">
        <f>G108+G109-G111-G112</f>
        <v>#REF!</v>
      </c>
      <c r="I115" s="119" t="e">
        <f>I108+I109-I111-I112</f>
        <v>#REF!</v>
      </c>
      <c r="K115" s="119" t="e">
        <f>K108+K109-K111-K112</f>
        <v>#REF!</v>
      </c>
      <c r="M115" s="119" t="e">
        <f>M108+M109-M111-M112</f>
        <v>#REF!</v>
      </c>
    </row>
    <row r="116" spans="4:13" hidden="1" x14ac:dyDescent="0.25"/>
    <row r="117" spans="4:13" hidden="1" x14ac:dyDescent="0.25"/>
    <row r="121" spans="4:13" hidden="1" x14ac:dyDescent="0.25">
      <c r="J121" s="79" t="s">
        <v>103</v>
      </c>
      <c r="K121" s="79" t="s">
        <v>104</v>
      </c>
      <c r="L121" s="79" t="s">
        <v>105</v>
      </c>
      <c r="M121" s="139"/>
    </row>
    <row r="122" spans="4:13" hidden="1" x14ac:dyDescent="0.25">
      <c r="J122" s="79" t="s">
        <v>29</v>
      </c>
      <c r="K122" s="119">
        <f>G48*0.82</f>
        <v>2047770.6249999998</v>
      </c>
      <c r="L122" s="119">
        <f>G48*0.18</f>
        <v>449510.625</v>
      </c>
      <c r="M122" s="139"/>
    </row>
    <row r="123" spans="4:13" hidden="1" x14ac:dyDescent="0.25">
      <c r="J123" s="79" t="s">
        <v>30</v>
      </c>
      <c r="K123" s="119">
        <f>K122+M12</f>
        <v>4349072.708333333</v>
      </c>
      <c r="L123" s="119">
        <f>L122+M7</f>
        <v>1654260.6250000002</v>
      </c>
    </row>
    <row r="124" spans="4:13" hidden="1" x14ac:dyDescent="0.25"/>
    <row r="125" spans="4:13" hidden="1" x14ac:dyDescent="0.25">
      <c r="K125" s="119">
        <v>3167250</v>
      </c>
      <c r="L125" s="119">
        <v>695250</v>
      </c>
      <c r="M125" s="119">
        <f>SUM(K125:L125)</f>
        <v>3862500</v>
      </c>
    </row>
    <row r="126" spans="4:13" hidden="1" x14ac:dyDescent="0.25">
      <c r="J126" s="125"/>
      <c r="K126" s="187">
        <v>3209750</v>
      </c>
      <c r="L126" s="187">
        <v>1524427.734375</v>
      </c>
      <c r="M126" s="119">
        <f>SUM(K126:L126)</f>
        <v>4734177.734375</v>
      </c>
    </row>
    <row r="127" spans="4:13" hidden="1" x14ac:dyDescent="0.25">
      <c r="J127" s="125"/>
      <c r="K127" s="125"/>
      <c r="L127" s="125"/>
      <c r="M127" s="125"/>
    </row>
    <row r="128" spans="4:13" hidden="1" x14ac:dyDescent="0.25">
      <c r="J128" s="125"/>
      <c r="K128" s="125">
        <f>K125/M125</f>
        <v>0.82</v>
      </c>
      <c r="L128" s="125">
        <f>L125/M125</f>
        <v>0.18</v>
      </c>
      <c r="M128" s="125"/>
    </row>
    <row r="129" spans="10:13" hidden="1" x14ac:dyDescent="0.25">
      <c r="J129" s="125"/>
      <c r="K129" s="125">
        <f>K126/M126</f>
        <v>0.67799524650160758</v>
      </c>
      <c r="L129" s="125">
        <f>L126/M126</f>
        <v>0.32200475349839247</v>
      </c>
      <c r="M129" s="125"/>
    </row>
  </sheetData>
  <sheetProtection algorithmName="SHA-512" hashValue="i87t98Z91cWVd/2k5GrW31AQqNpgErXWvJhLY8KjaOsuRVqJV2ZkMPegw9aXjpRc48vJCnGqVaNnMqbwBY7gdQ==" saltValue="pxv88wWGMwdqIf7NS/tEjQ==" spinCount="100000" sheet="1" objects="1" scenarios="1"/>
  <mergeCells count="9">
    <mergeCell ref="A61:A83"/>
    <mergeCell ref="K1:L1"/>
    <mergeCell ref="M1:N1"/>
    <mergeCell ref="A42:A46"/>
    <mergeCell ref="E1:F1"/>
    <mergeCell ref="G1:H1"/>
    <mergeCell ref="I1:J1"/>
    <mergeCell ref="A3:A20"/>
    <mergeCell ref="A22:A40"/>
  </mergeCells>
  <pageMargins left="0.7" right="0.7" top="0.75" bottom="0.75" header="0.3" footer="0.3"/>
  <pageSetup scale="48" orientation="landscape" r:id="rId1"/>
  <ignoredErrors>
    <ignoredError sqref="F39:M39 F41:G41 F50:M51 F46:G46 F28:G28 F48:F49 H48:H49 J48:J49 L48:L49 F23 F19:M19 F52 H52:M52 F27 H23:M23 F42 K7 I7 G7 F7 H7 J7 L7 F12:L12 M31 K31 I31 H28:M28 H26:M27 H30 H32:M34 H31 J31 L31 E32:F35 F36:F37 M46 K46 I46 H41:M41 H40 H42:M42 J40 H46 J46 L46 L40 H29 J29 L29 H25 J25 L25 J30 L30 H36:M37 H35 J35 L35 H44:M45 H43 J43 L43" formula="1"/>
    <ignoredError sqref="E41:E42 E21"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5:F43"/>
  <sheetViews>
    <sheetView showGridLines="0" zoomScale="70" zoomScaleNormal="70" workbookViewId="0">
      <selection activeCell="F40" sqref="F40"/>
    </sheetView>
  </sheetViews>
  <sheetFormatPr defaultColWidth="9.125" defaultRowHeight="16.5" x14ac:dyDescent="0.3"/>
  <cols>
    <col min="1" max="1" width="9.125" style="76"/>
    <col min="2" max="2" width="30" style="76" customWidth="1"/>
    <col min="3" max="16384" width="9.125" style="76"/>
  </cols>
  <sheetData>
    <row r="25" spans="4:4" x14ac:dyDescent="0.3">
      <c r="D25" s="188"/>
    </row>
    <row r="27" spans="4:4" s="75" customFormat="1" x14ac:dyDescent="0.3"/>
    <row r="37" spans="2:6" x14ac:dyDescent="0.3">
      <c r="C37" s="76">
        <v>1</v>
      </c>
      <c r="D37" s="76">
        <v>2</v>
      </c>
      <c r="E37" s="76">
        <v>3</v>
      </c>
      <c r="F37" s="76">
        <v>4</v>
      </c>
    </row>
    <row r="38" spans="2:6" x14ac:dyDescent="0.3">
      <c r="B38" s="189" t="s">
        <v>145</v>
      </c>
      <c r="C38" s="190">
        <f>'Core Calculations'!M19</f>
        <v>112.5</v>
      </c>
      <c r="D38" s="190">
        <f>'Core Calculations'!Y19</f>
        <v>262.50000000000006</v>
      </c>
      <c r="E38" s="190">
        <f>'Core Calculations'!AK19</f>
        <v>450.00000000000028</v>
      </c>
      <c r="F38" s="190">
        <f>'Core Calculations'!AW19</f>
        <v>675.00000000000023</v>
      </c>
    </row>
    <row r="39" spans="2:6" x14ac:dyDescent="0.3">
      <c r="B39" s="189" t="s">
        <v>90</v>
      </c>
      <c r="C39" s="190">
        <f>'Core Calculations'!M20</f>
        <v>375</v>
      </c>
      <c r="D39" s="190">
        <f>'Core Calculations'!Y20</f>
        <v>875.00000000000023</v>
      </c>
      <c r="E39" s="190">
        <f>'Core Calculations'!AK20</f>
        <v>1500.0000000000009</v>
      </c>
      <c r="F39" s="190">
        <f>'Core Calculations'!AW20</f>
        <v>2250.0000000000009</v>
      </c>
    </row>
    <row r="40" spans="2:6" x14ac:dyDescent="0.3">
      <c r="B40" s="189" t="s">
        <v>193</v>
      </c>
      <c r="C40" s="190">
        <f>'Core Calculations'!M21</f>
        <v>112.5</v>
      </c>
      <c r="D40" s="190">
        <f>'Core Calculations'!Y21</f>
        <v>262.50000000000006</v>
      </c>
      <c r="E40" s="190">
        <f>'Core Calculations'!AK21</f>
        <v>450.00000000000028</v>
      </c>
      <c r="F40" s="190">
        <f>'Core Calculations'!AW21</f>
        <v>675.00000000000034</v>
      </c>
    </row>
    <row r="41" spans="2:6" x14ac:dyDescent="0.3">
      <c r="B41" s="189" t="s">
        <v>91</v>
      </c>
      <c r="C41" s="190">
        <f>'Core Calculations'!M22</f>
        <v>375</v>
      </c>
      <c r="D41" s="190">
        <f>'Core Calculations'!Y22</f>
        <v>875.00000000000023</v>
      </c>
      <c r="E41" s="190">
        <f>'Core Calculations'!AK22</f>
        <v>1500.0000000000009</v>
      </c>
      <c r="F41" s="190">
        <f>'Core Calculations'!AW22</f>
        <v>2250.0000000000009</v>
      </c>
    </row>
    <row r="42" spans="2:6" x14ac:dyDescent="0.3">
      <c r="B42" s="189" t="s">
        <v>115</v>
      </c>
      <c r="C42" s="190">
        <f>'Core Calculations'!M24</f>
        <v>375</v>
      </c>
      <c r="D42" s="190">
        <f>'Core Calculations'!Y24</f>
        <v>875.00000000000023</v>
      </c>
      <c r="E42" s="190">
        <f>'Core Calculations'!AK24</f>
        <v>1500.0000000000009</v>
      </c>
      <c r="F42" s="190">
        <f>'Core Calculations'!AW24</f>
        <v>2250.0000000000009</v>
      </c>
    </row>
    <row r="43" spans="2:6" x14ac:dyDescent="0.3">
      <c r="B43" s="189"/>
      <c r="C43" s="190"/>
      <c r="D43" s="190"/>
      <c r="E43" s="190"/>
      <c r="F43" s="190"/>
    </row>
  </sheetData>
  <sheetProtection algorithmName="SHA-512" hashValue="7onvMkQyoel19ZGGvHXF0ma0QjyF7UpdmtQHrcEU/ezHoVmyyWTA26KDeJIkQ1cSuKeOQXjQ1U9WkYzwZR2r9A==" saltValue="BgF5mHiIQp2MMxNcIqdbYg=="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3:AX45"/>
  <sheetViews>
    <sheetView showGridLines="0" zoomScale="70" zoomScaleNormal="70" workbookViewId="0">
      <selection activeCell="J33" sqref="J33"/>
    </sheetView>
  </sheetViews>
  <sheetFormatPr defaultColWidth="9.125" defaultRowHeight="16.5" x14ac:dyDescent="0.3"/>
  <cols>
    <col min="1" max="9" width="9.125" style="76"/>
    <col min="10" max="10" width="25.625" style="76" customWidth="1"/>
    <col min="11" max="11" width="10.125" style="76" bestFit="1" customWidth="1"/>
    <col min="12" max="16384" width="9.125" style="76"/>
  </cols>
  <sheetData>
    <row r="33" spans="2:50" ht="20.25" x14ac:dyDescent="0.35">
      <c r="D33" s="77"/>
      <c r="E33" s="77"/>
      <c r="F33" s="77"/>
      <c r="G33" s="77"/>
      <c r="H33" s="77"/>
      <c r="I33" s="191" t="s">
        <v>149</v>
      </c>
      <c r="J33" s="192">
        <f>IF((-MIN('Core Calculations'!B56:AW56))&gt;0,(-MIN('Core Calculations'!B56:AW56)),0)</f>
        <v>282384.0277777781</v>
      </c>
    </row>
    <row r="45" spans="2:50" x14ac:dyDescent="0.3">
      <c r="B45" s="193" t="str">
        <f>'Core Calculations'!A56</f>
        <v>Monthly Cumulative Cash Flow</v>
      </c>
      <c r="C45" s="194">
        <f>'Core Calculations'!B56</f>
        <v>-20982.031249999971</v>
      </c>
      <c r="D45" s="194">
        <f>'Core Calculations'!C56</f>
        <v>-40699.739583333314</v>
      </c>
      <c r="E45" s="194">
        <f>'Core Calculations'!D56</f>
        <v>-59153.124999999971</v>
      </c>
      <c r="F45" s="194">
        <f>'Core Calculations'!E56</f>
        <v>-76342.187499999942</v>
      </c>
      <c r="G45" s="194">
        <f>'Core Calculations'!F56</f>
        <v>-92266.927083333285</v>
      </c>
      <c r="H45" s="194">
        <f>'Core Calculations'!G56</f>
        <v>-106927.34374999994</v>
      </c>
      <c r="I45" s="194">
        <f>'Core Calculations'!H56</f>
        <v>-120232.2916666666</v>
      </c>
      <c r="J45" s="194">
        <f>'Core Calculations'!I56</f>
        <v>-132181.77083333326</v>
      </c>
      <c r="K45" s="194">
        <f>'Core Calculations'!J56</f>
        <v>-142775.78124999991</v>
      </c>
      <c r="L45" s="194">
        <f>'Core Calculations'!K56</f>
        <v>-152014.32291666657</v>
      </c>
      <c r="M45" s="194">
        <f>'Core Calculations'!L56</f>
        <v>-159897.39583333323</v>
      </c>
      <c r="N45" s="194">
        <f>'Core Calculations'!M56</f>
        <v>-166424.99999999988</v>
      </c>
      <c r="O45" s="194">
        <f>'Core Calculations'!N56</f>
        <v>-185892.70833333326</v>
      </c>
      <c r="P45" s="194">
        <f>'Core Calculations'!O56</f>
        <v>-203583.50694444438</v>
      </c>
      <c r="Q45" s="194">
        <f>'Core Calculations'!P56</f>
        <v>-219497.39583333331</v>
      </c>
      <c r="R45" s="194">
        <f>'Core Calculations'!Q56</f>
        <v>-233634.37499999997</v>
      </c>
      <c r="S45" s="194">
        <f>'Core Calculations'!R56</f>
        <v>-245994.4444444445</v>
      </c>
      <c r="T45" s="194">
        <f>'Core Calculations'!S56</f>
        <v>-256577.60416666674</v>
      </c>
      <c r="U45" s="194">
        <f>'Core Calculations'!T56</f>
        <v>-265353.47222222236</v>
      </c>
      <c r="V45" s="194">
        <f>'Core Calculations'!U56</f>
        <v>-272322.04861111124</v>
      </c>
      <c r="W45" s="194">
        <f>'Core Calculations'!V56</f>
        <v>-277483.33333333355</v>
      </c>
      <c r="X45" s="194">
        <f>'Core Calculations'!W56</f>
        <v>-280837.32638888917</v>
      </c>
      <c r="Y45" s="194">
        <f>'Core Calculations'!X56</f>
        <v>-282384.0277777781</v>
      </c>
      <c r="Z45" s="194">
        <f>'Core Calculations'!Y56</f>
        <v>-282123.43750000035</v>
      </c>
      <c r="AA45" s="194">
        <f>'Core Calculations'!Z56</f>
        <v>-274711.50173611147</v>
      </c>
      <c r="AB45" s="194">
        <f>'Core Calculations'!AA56</f>
        <v>-265070.83333333366</v>
      </c>
      <c r="AC45" s="194">
        <f>'Core Calculations'!AB56</f>
        <v>-253201.43229166698</v>
      </c>
      <c r="AD45" s="194">
        <f>'Core Calculations'!AC56</f>
        <v>-239103.29861111136</v>
      </c>
      <c r="AE45" s="194">
        <f>'Core Calculations'!AD56</f>
        <v>-222776.43229166686</v>
      </c>
      <c r="AF45" s="194">
        <f>'Core Calculations'!AE56</f>
        <v>-204220.83333333343</v>
      </c>
      <c r="AG45" s="194">
        <f>'Core Calculations'!AF56</f>
        <v>-183406.11979166674</v>
      </c>
      <c r="AH45" s="194">
        <f>'Core Calculations'!AG56</f>
        <v>-160332.29166666669</v>
      </c>
      <c r="AI45" s="194">
        <f>'Core Calculations'!AH56</f>
        <v>-134999.34895833337</v>
      </c>
      <c r="AJ45" s="194">
        <f>'Core Calculations'!AI56</f>
        <v>-107407.29166666663</v>
      </c>
      <c r="AK45" s="194">
        <f>'Core Calculations'!AJ56</f>
        <v>-77556.119791666628</v>
      </c>
      <c r="AL45" s="194">
        <f>'Core Calculations'!AK56</f>
        <v>-45445.833333333256</v>
      </c>
      <c r="AM45" s="194">
        <f>'Core Calculations'!AL56</f>
        <v>-24314.887152777635</v>
      </c>
      <c r="AN45" s="194">
        <f>'Core Calculations'!AM56</f>
        <v>-503.38541666656965</v>
      </c>
      <c r="AO45" s="194">
        <f>'Core Calculations'!AN56</f>
        <v>25988.671875000175</v>
      </c>
      <c r="AP45" s="194">
        <f>'Core Calculations'!AO56</f>
        <v>55161.284722222539</v>
      </c>
      <c r="AQ45" s="194">
        <f>'Core Calculations'!AP56</f>
        <v>87014.453125000349</v>
      </c>
      <c r="AR45" s="194">
        <f>'Core Calculations'!AQ56</f>
        <v>121548.17708333378</v>
      </c>
      <c r="AS45" s="194">
        <f>'Core Calculations'!AR56</f>
        <v>158792.83854166721</v>
      </c>
      <c r="AT45" s="194">
        <f>'Core Calculations'!AS56</f>
        <v>198748.43750000064</v>
      </c>
      <c r="AU45" s="194">
        <f>'Core Calculations'!AT56</f>
        <v>241414.97395833407</v>
      </c>
      <c r="AV45" s="194">
        <f>'Core Calculations'!AU56</f>
        <v>286792.44791666738</v>
      </c>
      <c r="AW45" s="194">
        <f>'Core Calculations'!AV56</f>
        <v>334880.85937500081</v>
      </c>
      <c r="AX45" s="194">
        <f>'Core Calculations'!AW56</f>
        <v>385680.20833333425</v>
      </c>
    </row>
  </sheetData>
  <sheetProtection algorithmName="SHA-512" hashValue="TPbsNPjQnbGy0MxiWY3Y+EX8jXCh+f0j7Yf1GRsgZ9OQVOVbK8c6HHZhhDzc5Zx3mMtitLv/XZh4NHfm576Jpw==" saltValue="cv/UNAGpnalYb0AdsKTFlQ==" spinCount="100000" sheet="1" objects="1" scenario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5:F41"/>
  <sheetViews>
    <sheetView showGridLines="0" zoomScale="80" zoomScaleNormal="80" workbookViewId="0">
      <selection activeCell="S18" sqref="S18"/>
    </sheetView>
  </sheetViews>
  <sheetFormatPr defaultColWidth="9.125" defaultRowHeight="16.5" x14ac:dyDescent="0.3"/>
  <cols>
    <col min="1" max="1" width="9.125" style="76"/>
    <col min="2" max="2" width="23.625" style="76" bestFit="1" customWidth="1"/>
    <col min="3" max="7" width="12.75" style="76" customWidth="1"/>
    <col min="8" max="16384" width="9.125" style="76"/>
  </cols>
  <sheetData>
    <row r="35" spans="2:6" x14ac:dyDescent="0.3">
      <c r="C35" s="76">
        <v>1</v>
      </c>
      <c r="D35" s="76">
        <v>2</v>
      </c>
      <c r="E35" s="76">
        <v>3</v>
      </c>
      <c r="F35" s="76">
        <v>4</v>
      </c>
    </row>
    <row r="36" spans="2:6" x14ac:dyDescent="0.3">
      <c r="B36" s="76" t="s">
        <v>146</v>
      </c>
      <c r="C36" s="188">
        <f>'P&amp;L Detail'!G34</f>
        <v>2.6473958333333334</v>
      </c>
      <c r="D36" s="188">
        <f>'P&amp;L Detail'!I34</f>
        <v>3.8210069444444441</v>
      </c>
      <c r="E36" s="188">
        <f>'P&amp;L Detail'!K34</f>
        <v>5.1255208333333337</v>
      </c>
      <c r="F36" s="188">
        <f>'P&amp;L Detail'!M34</f>
        <v>6.5383680555555568</v>
      </c>
    </row>
    <row r="37" spans="2:6" x14ac:dyDescent="0.3">
      <c r="B37" s="76" t="s">
        <v>91</v>
      </c>
      <c r="C37" s="188">
        <f>'P&amp;L Detail'!G35</f>
        <v>1.45234375</v>
      </c>
      <c r="D37" s="188">
        <f>'P&amp;L Detail'!I35</f>
        <v>4.6177083333333355</v>
      </c>
      <c r="E37" s="188">
        <f>'P&amp;L Detail'!K35</f>
        <v>8.6768229166666728</v>
      </c>
      <c r="F37" s="188">
        <f>'P&amp;L Detail'!M35</f>
        <v>13.629687500000001</v>
      </c>
    </row>
    <row r="38" spans="2:6" x14ac:dyDescent="0.3">
      <c r="B38" s="76" t="s">
        <v>206</v>
      </c>
      <c r="C38" s="188">
        <f>'Key Variables'!G15/'Key Variables'!$G$33</f>
        <v>7.6839423076923081</v>
      </c>
      <c r="D38" s="188">
        <f>'Key Variables'!H15/'Key Variables'!$G$33</f>
        <v>11.977852564102566</v>
      </c>
      <c r="E38" s="188">
        <f>'Key Variables'!J15/'Key Variables'!$G$33</f>
        <v>12.64598557692308</v>
      </c>
      <c r="F38" s="188">
        <f>'Key Variables'!K15/'Key Variables'!$G$33</f>
        <v>16.744735576923077</v>
      </c>
    </row>
    <row r="40" spans="2:6" x14ac:dyDescent="0.3">
      <c r="C40" s="76" t="s">
        <v>205</v>
      </c>
    </row>
    <row r="41" spans="2:6" x14ac:dyDescent="0.3">
      <c r="C41" s="76">
        <v>1</v>
      </c>
      <c r="D41" s="76">
        <v>2</v>
      </c>
      <c r="E41" s="76">
        <v>3</v>
      </c>
      <c r="F41" s="76">
        <v>4</v>
      </c>
    </row>
  </sheetData>
  <sheetProtection algorithmName="SHA-512" hashValue="6p5eiWhmGK05WknjXDoTdVQqLg8fTwx8zO+eCe5FpkVNYgzOUMBn/RUqhqKO5KOOy4yW8BT35UghZB+xHHqSKA==" saltValue="wqwGwYS/YmqkF2aM2GUpOA==" spinCount="100000" sheet="1" objects="1" scenarios="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T44"/>
  <sheetViews>
    <sheetView showGridLines="0" zoomScale="80" zoomScaleNormal="80" workbookViewId="0">
      <selection activeCell="I59" sqref="I59"/>
    </sheetView>
  </sheetViews>
  <sheetFormatPr defaultColWidth="9.125" defaultRowHeight="15" x14ac:dyDescent="0.25"/>
  <cols>
    <col min="1" max="1" width="2.625" style="11" customWidth="1"/>
    <col min="2" max="2" width="51.25" style="11" bestFit="1" customWidth="1"/>
    <col min="3" max="3" width="12.75" style="11" customWidth="1"/>
    <col min="4" max="4" width="29.75" style="11" customWidth="1"/>
    <col min="5" max="5" width="7.375" style="11" customWidth="1"/>
    <col min="6" max="6" width="39.625" style="11" customWidth="1"/>
    <col min="7" max="11" width="13.625" style="11" customWidth="1"/>
    <col min="12" max="16384" width="9.125" style="11"/>
  </cols>
  <sheetData>
    <row r="1" spans="2:10" ht="26.1" customHeight="1" x14ac:dyDescent="0.25"/>
    <row r="2" spans="2:10" ht="22.5" hidden="1" customHeight="1" x14ac:dyDescent="0.25">
      <c r="B2" s="373" t="s">
        <v>98</v>
      </c>
      <c r="C2" s="374"/>
      <c r="D2" s="375"/>
    </row>
    <row r="3" spans="2:10" ht="14.45" hidden="1" customHeight="1" x14ac:dyDescent="0.25">
      <c r="B3" s="376" t="s">
        <v>100</v>
      </c>
      <c r="C3" s="377"/>
      <c r="D3" s="378"/>
      <c r="F3" s="366" t="s">
        <v>56</v>
      </c>
      <c r="G3" s="24" t="s">
        <v>24</v>
      </c>
      <c r="H3" s="24" t="s">
        <v>11</v>
      </c>
      <c r="I3" s="24" t="s">
        <v>12</v>
      </c>
      <c r="J3" s="25" t="s">
        <v>13</v>
      </c>
    </row>
    <row r="4" spans="2:10" ht="14.45" hidden="1" customHeight="1" x14ac:dyDescent="0.25">
      <c r="B4" s="379"/>
      <c r="C4" s="380"/>
      <c r="D4" s="381"/>
      <c r="F4" s="367"/>
      <c r="G4" s="48">
        <v>0</v>
      </c>
      <c r="H4" s="48">
        <v>0</v>
      </c>
      <c r="I4" s="48">
        <v>0</v>
      </c>
      <c r="J4" s="49">
        <v>0</v>
      </c>
    </row>
    <row r="5" spans="2:10" ht="14.45" hidden="1" customHeight="1" x14ac:dyDescent="0.25">
      <c r="B5" s="14" t="s">
        <v>74</v>
      </c>
      <c r="C5" s="54">
        <v>0</v>
      </c>
      <c r="D5" s="17" t="s">
        <v>10</v>
      </c>
    </row>
    <row r="6" spans="2:10" ht="14.45" hidden="1" customHeight="1" x14ac:dyDescent="0.25">
      <c r="B6" s="12" t="s">
        <v>107</v>
      </c>
      <c r="C6" s="46">
        <v>0</v>
      </c>
      <c r="D6" s="41" t="s">
        <v>108</v>
      </c>
      <c r="F6" s="365"/>
      <c r="G6" s="365"/>
      <c r="H6" s="365"/>
      <c r="I6" s="365"/>
      <c r="J6" s="365"/>
    </row>
    <row r="7" spans="2:10" ht="14.45" hidden="1" customHeight="1" x14ac:dyDescent="0.25">
      <c r="B7" s="16" t="s">
        <v>75</v>
      </c>
      <c r="C7" s="47">
        <f>C6*0.2</f>
        <v>0</v>
      </c>
      <c r="D7" s="18" t="s">
        <v>28</v>
      </c>
      <c r="F7" s="60"/>
      <c r="G7" s="60"/>
      <c r="H7" s="60"/>
      <c r="I7" s="60"/>
      <c r="J7" s="60"/>
    </row>
    <row r="8" spans="2:10" ht="14.45" hidden="1" customHeight="1" x14ac:dyDescent="0.25"/>
    <row r="9" spans="2:10" ht="17.100000000000001" hidden="1" customHeight="1" x14ac:dyDescent="0.25">
      <c r="B9" s="376" t="s">
        <v>101</v>
      </c>
      <c r="C9" s="377"/>
      <c r="D9" s="378"/>
      <c r="F9" s="33" t="s">
        <v>89</v>
      </c>
      <c r="G9" s="63">
        <v>0</v>
      </c>
      <c r="I9" s="368" t="s">
        <v>114</v>
      </c>
      <c r="J9" s="369"/>
    </row>
    <row r="10" spans="2:10" ht="16.5" hidden="1" customHeight="1" x14ac:dyDescent="0.25">
      <c r="B10" s="379"/>
      <c r="C10" s="380"/>
      <c r="D10" s="381"/>
      <c r="I10" s="370"/>
      <c r="J10" s="371"/>
    </row>
    <row r="11" spans="2:10" ht="15" hidden="1" customHeight="1" x14ac:dyDescent="0.25">
      <c r="B11" s="14" t="s">
        <v>74</v>
      </c>
      <c r="C11" s="46">
        <v>0</v>
      </c>
      <c r="D11" s="17" t="s">
        <v>10</v>
      </c>
      <c r="I11" s="26" t="s">
        <v>6</v>
      </c>
      <c r="J11" s="31" t="s">
        <v>18</v>
      </c>
    </row>
    <row r="12" spans="2:10" ht="14.45" hidden="1" customHeight="1" x14ac:dyDescent="0.3">
      <c r="B12" s="12" t="s">
        <v>107</v>
      </c>
      <c r="C12" s="46">
        <f>C6/2</f>
        <v>0</v>
      </c>
      <c r="D12" s="41" t="s">
        <v>108</v>
      </c>
      <c r="G12" s="372" t="s">
        <v>175</v>
      </c>
      <c r="H12" s="372"/>
      <c r="I12" s="71">
        <v>0.23</v>
      </c>
      <c r="J12" s="71">
        <v>0.04</v>
      </c>
    </row>
    <row r="13" spans="2:10" ht="14.45" hidden="1" customHeight="1" x14ac:dyDescent="0.3">
      <c r="B13" s="16" t="s">
        <v>75</v>
      </c>
      <c r="C13" s="47">
        <f>C12*0.2</f>
        <v>0</v>
      </c>
      <c r="D13" s="18" t="s">
        <v>28</v>
      </c>
      <c r="G13" s="372" t="s">
        <v>176</v>
      </c>
      <c r="H13" s="372"/>
      <c r="J13" s="71" t="s">
        <v>20</v>
      </c>
    </row>
    <row r="14" spans="2:10" ht="14.45" hidden="1" customHeight="1" x14ac:dyDescent="0.3">
      <c r="G14" s="372" t="s">
        <v>177</v>
      </c>
      <c r="H14" s="372"/>
      <c r="J14" s="71" t="s">
        <v>20</v>
      </c>
    </row>
    <row r="15" spans="2:10" ht="14.45" hidden="1" customHeight="1" x14ac:dyDescent="0.3">
      <c r="B15" s="67" t="s">
        <v>42</v>
      </c>
      <c r="C15" s="68"/>
      <c r="D15" s="69"/>
      <c r="G15" s="372" t="s">
        <v>178</v>
      </c>
      <c r="H15" s="372"/>
      <c r="I15" s="71">
        <v>0.04</v>
      </c>
      <c r="J15" s="71"/>
    </row>
    <row r="16" spans="2:10" ht="14.45" hidden="1" customHeight="1" x14ac:dyDescent="0.25">
      <c r="D16" s="18" t="s">
        <v>9</v>
      </c>
    </row>
    <row r="17" spans="2:20" ht="14.45" hidden="1" customHeight="1" x14ac:dyDescent="0.25"/>
    <row r="18" spans="2:20" ht="14.45" hidden="1" customHeight="1" x14ac:dyDescent="0.25">
      <c r="B18" s="64" t="s">
        <v>71</v>
      </c>
      <c r="C18" s="65"/>
      <c r="D18" s="66"/>
    </row>
    <row r="19" spans="2:20" ht="14.45" hidden="1" customHeight="1" x14ac:dyDescent="0.25">
      <c r="D19" s="42" t="s">
        <v>99</v>
      </c>
    </row>
    <row r="20" spans="2:20" ht="14.45" hidden="1" customHeight="1" x14ac:dyDescent="0.25">
      <c r="D20" s="42" t="s">
        <v>99</v>
      </c>
      <c r="G20" s="20" t="s">
        <v>24</v>
      </c>
      <c r="H20" s="20" t="s">
        <v>11</v>
      </c>
      <c r="I20" s="20" t="s">
        <v>12</v>
      </c>
      <c r="J20" s="20" t="s">
        <v>13</v>
      </c>
    </row>
    <row r="21" spans="2:20" ht="14.45" hidden="1" customHeight="1" x14ac:dyDescent="0.25">
      <c r="D21" s="41" t="s">
        <v>9</v>
      </c>
      <c r="F21" s="28" t="s">
        <v>152</v>
      </c>
      <c r="G21" s="50">
        <f>'P&amp;L Detail'!G48</f>
        <v>2497281.25</v>
      </c>
      <c r="H21" s="50">
        <f>'P&amp;L Detail'!I48</f>
        <v>3892802.0833333335</v>
      </c>
      <c r="I21" s="50">
        <f>'P&amp;L Detail'!K48</f>
        <v>5479927.083333334</v>
      </c>
      <c r="J21" s="50">
        <f>'P&amp;L Detail'!M48</f>
        <v>7256052.083333334</v>
      </c>
    </row>
    <row r="22" spans="2:20" ht="14.45" hidden="1" customHeight="1" x14ac:dyDescent="0.25">
      <c r="D22" s="41" t="s">
        <v>9</v>
      </c>
      <c r="F22" s="32" t="s">
        <v>2</v>
      </c>
      <c r="G22" s="50">
        <f>'P&amp;L Detail'!G51</f>
        <v>-166425</v>
      </c>
      <c r="H22" s="50">
        <f>'P&amp;L Detail'!I51</f>
        <v>-115698.43750000047</v>
      </c>
      <c r="I22" s="50">
        <f>'P&amp;L Detail'!K51</f>
        <v>236677.60416666698</v>
      </c>
      <c r="J22" s="50">
        <f>'P&amp;L Detail'!M51</f>
        <v>431126.04166666698</v>
      </c>
    </row>
    <row r="23" spans="2:20" ht="14.45" hidden="1" customHeight="1" x14ac:dyDescent="0.25">
      <c r="D23" s="13" t="s">
        <v>139</v>
      </c>
      <c r="F23" s="73"/>
      <c r="G23" s="74"/>
      <c r="H23" s="74"/>
      <c r="I23" s="74"/>
      <c r="J23" s="74"/>
    </row>
    <row r="24" spans="2:20" ht="14.45" hidden="1" customHeight="1" x14ac:dyDescent="0.25">
      <c r="L24" s="29"/>
      <c r="N24" s="29"/>
      <c r="P24" s="29"/>
      <c r="Q24" s="29"/>
      <c r="R24" s="30"/>
      <c r="S24" s="30"/>
    </row>
    <row r="25" spans="2:20" ht="14.45" hidden="1" customHeight="1" x14ac:dyDescent="0.25">
      <c r="L25" s="30"/>
      <c r="N25" s="30"/>
      <c r="P25" s="30"/>
      <c r="Q25" s="30"/>
      <c r="R25" s="30"/>
      <c r="S25" s="30"/>
      <c r="T25" s="30"/>
    </row>
    <row r="26" spans="2:20" ht="14.45" hidden="1" customHeight="1" x14ac:dyDescent="0.25">
      <c r="G26" s="43"/>
      <c r="H26" s="44"/>
      <c r="I26" s="45" t="s">
        <v>147</v>
      </c>
      <c r="J26" s="51">
        <f>'Key Variables'!K27</f>
        <v>5630996.0937500009</v>
      </c>
    </row>
    <row r="27" spans="2:20" ht="14.45" hidden="1" customHeight="1" x14ac:dyDescent="0.25"/>
    <row r="28" spans="2:20" ht="14.45" hidden="1" customHeight="1" x14ac:dyDescent="0.25"/>
    <row r="29" spans="2:20" ht="14.45" hidden="1" customHeight="1" x14ac:dyDescent="0.25">
      <c r="B29" s="19" t="s">
        <v>150</v>
      </c>
      <c r="C29" s="29">
        <f>IFERROR(('Key Variables'!C17+(('Key Variables'!C21)*'Key Variables'!C7*12)),0)</f>
        <v>23000</v>
      </c>
    </row>
    <row r="30" spans="2:20" ht="14.45" hidden="1" customHeight="1" x14ac:dyDescent="0.25">
      <c r="B30" s="19" t="s">
        <v>102</v>
      </c>
      <c r="C30" s="29">
        <f>C29</f>
        <v>23000</v>
      </c>
    </row>
    <row r="31" spans="2:20" ht="17.100000000000001" hidden="1" customHeight="1" x14ac:dyDescent="0.25"/>
    <row r="32" spans="2:20" ht="16.5" hidden="1" customHeight="1" x14ac:dyDescent="0.25"/>
    <row r="33" spans="2:10" ht="14.45" hidden="1" customHeight="1" x14ac:dyDescent="0.25"/>
    <row r="34" spans="2:10" ht="14.45" hidden="1" customHeight="1" x14ac:dyDescent="0.25"/>
    <row r="35" spans="2:10" ht="14.45" hidden="1" customHeight="1" x14ac:dyDescent="0.25">
      <c r="E35" s="34"/>
    </row>
    <row r="36" spans="2:10" ht="14.45" hidden="1" customHeight="1" x14ac:dyDescent="0.25">
      <c r="E36" s="23"/>
    </row>
    <row r="37" spans="2:10" ht="14.45" hidden="1" customHeight="1" x14ac:dyDescent="0.25">
      <c r="B37" s="364" t="s">
        <v>77</v>
      </c>
      <c r="C37" s="364"/>
      <c r="D37" s="364"/>
      <c r="E37" s="23"/>
    </row>
    <row r="38" spans="2:10" ht="14.45" hidden="1" customHeight="1" x14ac:dyDescent="0.25">
      <c r="B38" s="70" t="s">
        <v>78</v>
      </c>
      <c r="C38" s="71">
        <v>0</v>
      </c>
      <c r="D38" s="15" t="s">
        <v>8</v>
      </c>
    </row>
    <row r="39" spans="2:10" ht="14.45" hidden="1" customHeight="1" x14ac:dyDescent="0.25">
      <c r="B39" s="72" t="s">
        <v>82</v>
      </c>
      <c r="C39" s="71">
        <v>0</v>
      </c>
      <c r="D39" s="15" t="s">
        <v>8</v>
      </c>
    </row>
    <row r="40" spans="2:10" ht="14.45" hidden="1" customHeight="1" x14ac:dyDescent="0.25"/>
    <row r="41" spans="2:10" ht="16.5" hidden="1" customHeight="1" x14ac:dyDescent="0.3">
      <c r="F41" s="33" t="s">
        <v>112</v>
      </c>
      <c r="G41" s="35">
        <f>G9</f>
        <v>0</v>
      </c>
      <c r="I41" s="56"/>
      <c r="J41" s="56"/>
    </row>
    <row r="42" spans="2:10" ht="14.45" hidden="1" customHeight="1" x14ac:dyDescent="0.25"/>
    <row r="43" spans="2:10" ht="14.45" hidden="1" customHeight="1" x14ac:dyDescent="0.25"/>
    <row r="44" spans="2:10" hidden="1" x14ac:dyDescent="0.25"/>
  </sheetData>
  <sheetProtection algorithmName="SHA-512" hashValue="a4pZZjQfFGhHWt5cFp5cQasM84lYqYEifFmcbMZMzV+r2aG7Vkbsp1gRF4gGzKVjQaJE/v1ZfJJizzgSVTBGFw==" saltValue="z0/Y6sWFUxhPdEYFqzB9mg==" spinCount="100000" sheet="1" objects="1" scenarios="1"/>
  <mergeCells count="12">
    <mergeCell ref="B2:D2"/>
    <mergeCell ref="B3:D4"/>
    <mergeCell ref="B9:D10"/>
    <mergeCell ref="G12:H12"/>
    <mergeCell ref="G13:H13"/>
    <mergeCell ref="B37:D37"/>
    <mergeCell ref="F6:G6"/>
    <mergeCell ref="H6:J6"/>
    <mergeCell ref="F3:F4"/>
    <mergeCell ref="I9:J10"/>
    <mergeCell ref="G14:H14"/>
    <mergeCell ref="G15:H15"/>
  </mergeCells>
  <pageMargins left="0.7" right="0.7" top="0.75" bottom="0.75" header="0.3" footer="0.3"/>
  <pageSetup orientation="portrait" r:id="rId1"/>
  <ignoredErrors>
    <ignoredError sqref="C12" unlocked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83"/>
  <sheetViews>
    <sheetView showGridLines="0" zoomScale="80" zoomScaleNormal="80" workbookViewId="0">
      <pane xSplit="1" ySplit="2" topLeftCell="B3" activePane="bottomRight" state="frozen"/>
      <selection pane="topRight" activeCell="B1" sqref="B1"/>
      <selection pane="bottomLeft" activeCell="A3" sqref="A3"/>
      <selection pane="bottomRight" activeCell="J94" sqref="J94"/>
    </sheetView>
  </sheetViews>
  <sheetFormatPr defaultColWidth="9.125" defaultRowHeight="15" x14ac:dyDescent="0.25"/>
  <cols>
    <col min="1" max="1" width="77.875" style="1" customWidth="1"/>
    <col min="2" max="49" width="12.75" style="1" customWidth="1"/>
    <col min="50" max="50" width="10.875" style="1" bestFit="1" customWidth="1"/>
    <col min="51" max="51" width="12.625" style="1" customWidth="1"/>
    <col min="52" max="16384" width="9.125" style="1"/>
  </cols>
  <sheetData>
    <row r="1" spans="1:50" ht="18.75" x14ac:dyDescent="0.3">
      <c r="B1" s="382" t="s">
        <v>17</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row>
    <row r="2" spans="1:50" ht="12" customHeight="1" x14ac:dyDescent="0.25">
      <c r="A2" s="1" t="s">
        <v>17</v>
      </c>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c r="Z2" s="2">
        <v>25</v>
      </c>
      <c r="AA2" s="2">
        <v>26</v>
      </c>
      <c r="AB2" s="2">
        <v>27</v>
      </c>
      <c r="AC2" s="2">
        <v>28</v>
      </c>
      <c r="AD2" s="2">
        <v>29</v>
      </c>
      <c r="AE2" s="2">
        <v>30</v>
      </c>
      <c r="AF2" s="2">
        <v>31</v>
      </c>
      <c r="AG2" s="2">
        <v>32</v>
      </c>
      <c r="AH2" s="2">
        <v>33</v>
      </c>
      <c r="AI2" s="2">
        <v>34</v>
      </c>
      <c r="AJ2" s="2">
        <v>35</v>
      </c>
      <c r="AK2" s="2">
        <v>36</v>
      </c>
      <c r="AL2" s="2">
        <v>37</v>
      </c>
      <c r="AM2" s="2">
        <v>38</v>
      </c>
      <c r="AN2" s="2">
        <v>39</v>
      </c>
      <c r="AO2" s="2">
        <v>40</v>
      </c>
      <c r="AP2" s="2">
        <v>41</v>
      </c>
      <c r="AQ2" s="2">
        <v>42</v>
      </c>
      <c r="AR2" s="2">
        <v>43</v>
      </c>
      <c r="AS2" s="2">
        <v>44</v>
      </c>
      <c r="AT2" s="2">
        <v>45</v>
      </c>
      <c r="AU2" s="2">
        <v>46</v>
      </c>
      <c r="AV2" s="2">
        <v>47</v>
      </c>
      <c r="AW2" s="2">
        <v>48</v>
      </c>
    </row>
    <row r="3" spans="1:50" hidden="1" x14ac:dyDescent="0.25"/>
    <row r="4" spans="1:50" hidden="1" x14ac:dyDescent="0.25">
      <c r="A4" s="1" t="s">
        <v>116</v>
      </c>
      <c r="B4" s="5">
        <f>'Key Variables'!$G$13/12</f>
        <v>1.25</v>
      </c>
      <c r="C4" s="5">
        <f>'Key Variables'!$G$13/12</f>
        <v>1.25</v>
      </c>
      <c r="D4" s="5">
        <f>'Key Variables'!$G$13/12</f>
        <v>1.25</v>
      </c>
      <c r="E4" s="5">
        <f>'Key Variables'!$G$13/12</f>
        <v>1.25</v>
      </c>
      <c r="F4" s="5">
        <f>'Key Variables'!$G$13/12</f>
        <v>1.25</v>
      </c>
      <c r="G4" s="5">
        <f>'Key Variables'!$G$13/12</f>
        <v>1.25</v>
      </c>
      <c r="H4" s="5">
        <f>'Key Variables'!$G$13/12</f>
        <v>1.25</v>
      </c>
      <c r="I4" s="5">
        <f>'Key Variables'!$G$13/12</f>
        <v>1.25</v>
      </c>
      <c r="J4" s="5">
        <f>'Key Variables'!$G$13/12</f>
        <v>1.25</v>
      </c>
      <c r="K4" s="5">
        <f>'Key Variables'!$G$13/12</f>
        <v>1.25</v>
      </c>
      <c r="L4" s="5">
        <f>'Key Variables'!$G$13/12</f>
        <v>1.25</v>
      </c>
      <c r="M4" s="5">
        <f>'Key Variables'!$G$13/12</f>
        <v>1.25</v>
      </c>
      <c r="N4" s="5">
        <f>'Key Variables'!$H$13/12</f>
        <v>1.6666666666666667</v>
      </c>
      <c r="O4" s="5">
        <f>'Key Variables'!$H$13/12</f>
        <v>1.6666666666666667</v>
      </c>
      <c r="P4" s="5">
        <f>'Key Variables'!$H$13/12</f>
        <v>1.6666666666666667</v>
      </c>
      <c r="Q4" s="5">
        <f>'Key Variables'!$H$13/12</f>
        <v>1.6666666666666667</v>
      </c>
      <c r="R4" s="5">
        <f>'Key Variables'!$H$13/12</f>
        <v>1.6666666666666667</v>
      </c>
      <c r="S4" s="5">
        <f>'Key Variables'!$H$13/12</f>
        <v>1.6666666666666667</v>
      </c>
      <c r="T4" s="5">
        <f>'Key Variables'!$H$13/12</f>
        <v>1.6666666666666667</v>
      </c>
      <c r="U4" s="5">
        <f>'Key Variables'!$H$13/12</f>
        <v>1.6666666666666667</v>
      </c>
      <c r="V4" s="5">
        <f>'Key Variables'!$H$13/12</f>
        <v>1.6666666666666667</v>
      </c>
      <c r="W4" s="5">
        <f>'Key Variables'!$H$13/12</f>
        <v>1.6666666666666667</v>
      </c>
      <c r="X4" s="5">
        <f>'Key Variables'!$H$13/12</f>
        <v>1.6666666666666667</v>
      </c>
      <c r="Y4" s="5">
        <f>'Key Variables'!$H$13/12</f>
        <v>1.6666666666666667</v>
      </c>
      <c r="Z4" s="5">
        <f>'Key Variables'!$J$13/12</f>
        <v>2.0833333333333335</v>
      </c>
      <c r="AA4" s="5">
        <f>'Key Variables'!$J$13/12</f>
        <v>2.0833333333333335</v>
      </c>
      <c r="AB4" s="5">
        <f>'Key Variables'!$J$13/12</f>
        <v>2.0833333333333335</v>
      </c>
      <c r="AC4" s="5">
        <f>'Key Variables'!$J$13/12</f>
        <v>2.0833333333333335</v>
      </c>
      <c r="AD4" s="5">
        <f>'Key Variables'!$J$13/12</f>
        <v>2.0833333333333335</v>
      </c>
      <c r="AE4" s="5">
        <f>'Key Variables'!$J$13/12</f>
        <v>2.0833333333333335</v>
      </c>
      <c r="AF4" s="5">
        <f>'Key Variables'!$J$13/12</f>
        <v>2.0833333333333335</v>
      </c>
      <c r="AG4" s="5">
        <f>'Key Variables'!$J$13/12</f>
        <v>2.0833333333333335</v>
      </c>
      <c r="AH4" s="5">
        <f>'Key Variables'!$J$13/12</f>
        <v>2.0833333333333335</v>
      </c>
      <c r="AI4" s="5">
        <f>'Key Variables'!$J$13/12</f>
        <v>2.0833333333333335</v>
      </c>
      <c r="AJ4" s="5">
        <f>'Key Variables'!$J$13/12</f>
        <v>2.0833333333333335</v>
      </c>
      <c r="AK4" s="55">
        <f>'Key Variables'!$J$13/12</f>
        <v>2.0833333333333335</v>
      </c>
      <c r="AL4" s="55">
        <f>'Key Variables'!$K$13/12</f>
        <v>2.5</v>
      </c>
      <c r="AM4" s="5">
        <f>'Key Variables'!$K$13/12</f>
        <v>2.5</v>
      </c>
      <c r="AN4" s="5">
        <f>'Key Variables'!$K$13/12</f>
        <v>2.5</v>
      </c>
      <c r="AO4" s="5">
        <f>'Key Variables'!$K$13/12</f>
        <v>2.5</v>
      </c>
      <c r="AP4" s="5">
        <f>'Key Variables'!$K$13/12</f>
        <v>2.5</v>
      </c>
      <c r="AQ4" s="5">
        <f>'Key Variables'!$K$13/12</f>
        <v>2.5</v>
      </c>
      <c r="AR4" s="5">
        <f>'Key Variables'!$K$13/12</f>
        <v>2.5</v>
      </c>
      <c r="AS4" s="5">
        <f>'Key Variables'!$K$13/12</f>
        <v>2.5</v>
      </c>
      <c r="AT4" s="5">
        <f>'Key Variables'!$K$13/12</f>
        <v>2.5</v>
      </c>
      <c r="AU4" s="5">
        <f>'Key Variables'!$K$13/12</f>
        <v>2.5</v>
      </c>
      <c r="AV4" s="5">
        <f>'Key Variables'!$K$13/12</f>
        <v>2.5</v>
      </c>
      <c r="AW4" s="5">
        <f>'Key Variables'!$K$13/12</f>
        <v>2.5</v>
      </c>
    </row>
    <row r="5" spans="1:50" hidden="1" x14ac:dyDescent="0.25">
      <c r="A5" s="10" t="s">
        <v>117</v>
      </c>
      <c r="B5" s="40">
        <f>B4</f>
        <v>1.25</v>
      </c>
      <c r="C5" s="40">
        <f t="shared" ref="C5:M5" si="0">B5+C4</f>
        <v>2.5</v>
      </c>
      <c r="D5" s="40">
        <f t="shared" si="0"/>
        <v>3.75</v>
      </c>
      <c r="E5" s="40">
        <f t="shared" si="0"/>
        <v>5</v>
      </c>
      <c r="F5" s="40">
        <f t="shared" si="0"/>
        <v>6.25</v>
      </c>
      <c r="G5" s="40">
        <f t="shared" si="0"/>
        <v>7.5</v>
      </c>
      <c r="H5" s="3">
        <f t="shared" si="0"/>
        <v>8.75</v>
      </c>
      <c r="I5" s="3">
        <f t="shared" si="0"/>
        <v>10</v>
      </c>
      <c r="J5" s="3">
        <f t="shared" si="0"/>
        <v>11.25</v>
      </c>
      <c r="K5" s="3">
        <f t="shared" si="0"/>
        <v>12.5</v>
      </c>
      <c r="L5" s="3">
        <f t="shared" si="0"/>
        <v>13.75</v>
      </c>
      <c r="M5" s="3">
        <f t="shared" si="0"/>
        <v>15</v>
      </c>
      <c r="N5" s="3">
        <f>M5+N4-(B4*'"Fine Tune" Variables'!$G$9)</f>
        <v>16.666666666666668</v>
      </c>
      <c r="O5" s="3">
        <f>N5+O4-(C4*'"Fine Tune" Variables'!$G$9)</f>
        <v>18.333333333333336</v>
      </c>
      <c r="P5" s="3">
        <f>O5+P4-(D4*'"Fine Tune" Variables'!$G$9)</f>
        <v>20.000000000000004</v>
      </c>
      <c r="Q5" s="3">
        <f>P5+Q4-(E4*'"Fine Tune" Variables'!$G$9)</f>
        <v>21.666666666666671</v>
      </c>
      <c r="R5" s="3">
        <f>Q5+R4-(F4*'"Fine Tune" Variables'!$G$9)</f>
        <v>23.333333333333339</v>
      </c>
      <c r="S5" s="3">
        <f>R5+S4-(G4*'"Fine Tune" Variables'!$G$9)</f>
        <v>25.000000000000007</v>
      </c>
      <c r="T5" s="3">
        <f>S5+T4-(H4*'"Fine Tune" Variables'!$G$9)</f>
        <v>26.666666666666675</v>
      </c>
      <c r="U5" s="3">
        <f>T5+U4-(I4*'"Fine Tune" Variables'!$G$9)</f>
        <v>28.333333333333343</v>
      </c>
      <c r="V5" s="3">
        <f>U5+V4-(J4*'"Fine Tune" Variables'!$G$9)</f>
        <v>30.000000000000011</v>
      </c>
      <c r="W5" s="3">
        <f>V5+W4-(K4*'"Fine Tune" Variables'!$G$9)</f>
        <v>31.666666666666679</v>
      </c>
      <c r="X5" s="3">
        <f>W5+X4-(L4*'"Fine Tune" Variables'!$G$9)</f>
        <v>33.333333333333343</v>
      </c>
      <c r="Y5" s="3">
        <f>X5+Y4-(M4*'"Fine Tune" Variables'!$G$9)</f>
        <v>35.000000000000007</v>
      </c>
      <c r="Z5" s="3">
        <f>Y5+Z4-(N4*'"Fine Tune" Variables'!$G$9)</f>
        <v>37.083333333333343</v>
      </c>
      <c r="AA5" s="3">
        <f>Z5+AA4-(O4*'"Fine Tune" Variables'!$G$9)</f>
        <v>39.166666666666679</v>
      </c>
      <c r="AB5" s="3">
        <f>AA5+AB4-(P4*'"Fine Tune" Variables'!$G$9)</f>
        <v>41.250000000000014</v>
      </c>
      <c r="AC5" s="3">
        <f>AB5+AC4-(Q4*'"Fine Tune" Variables'!$G$9)</f>
        <v>43.33333333333335</v>
      </c>
      <c r="AD5" s="3">
        <f>AC5+AD4-(R4*'"Fine Tune" Variables'!$G$9)</f>
        <v>45.416666666666686</v>
      </c>
      <c r="AE5" s="3">
        <f>AD5+AE4-(S4*'"Fine Tune" Variables'!$G$9)</f>
        <v>47.500000000000021</v>
      </c>
      <c r="AF5" s="3">
        <f>AE5+AF4-(T4*'"Fine Tune" Variables'!$G$9)</f>
        <v>49.583333333333357</v>
      </c>
      <c r="AG5" s="3">
        <f>AF5+AG4-(U4*'"Fine Tune" Variables'!$G$9)</f>
        <v>51.666666666666693</v>
      </c>
      <c r="AH5" s="3">
        <f>AG5+AH4-(V4*'"Fine Tune" Variables'!$G$9)</f>
        <v>53.750000000000028</v>
      </c>
      <c r="AI5" s="3">
        <f>AH5+AI4-(W4*'"Fine Tune" Variables'!$G$9)</f>
        <v>55.833333333333364</v>
      </c>
      <c r="AJ5" s="3">
        <f>AI5+AJ4-(X4*'"Fine Tune" Variables'!$G$9)</f>
        <v>57.9166666666667</v>
      </c>
      <c r="AK5" s="55">
        <f>AJ5+AK4-(Y4*'"Fine Tune" Variables'!$G$9)</f>
        <v>60.000000000000036</v>
      </c>
      <c r="AL5" s="55">
        <f>AK5+AL4-(Z4*'"Fine Tune" Variables'!$G$9)</f>
        <v>62.500000000000036</v>
      </c>
      <c r="AM5" s="3">
        <f>AL5+AM4-(AA4*'"Fine Tune" Variables'!$G$9)</f>
        <v>65.000000000000028</v>
      </c>
      <c r="AN5" s="3">
        <f>AM5+AN4-(AB4*'"Fine Tune" Variables'!$G$9)</f>
        <v>67.500000000000028</v>
      </c>
      <c r="AO5" s="3">
        <f>AN5+AO4-(AC4*'"Fine Tune" Variables'!$G$9)</f>
        <v>70.000000000000028</v>
      </c>
      <c r="AP5" s="3">
        <f>AO5+AP4-(AD4*'"Fine Tune" Variables'!$G$9)</f>
        <v>72.500000000000028</v>
      </c>
      <c r="AQ5" s="3">
        <f>AP5+AQ4-(AE4*'"Fine Tune" Variables'!$G$9)</f>
        <v>75.000000000000028</v>
      </c>
      <c r="AR5" s="3">
        <f>AQ5+AR4-(AF4*'"Fine Tune" Variables'!$G$9)</f>
        <v>77.500000000000028</v>
      </c>
      <c r="AS5" s="3">
        <f>AR5+AS4-(AG4*'"Fine Tune" Variables'!$G$9)</f>
        <v>80.000000000000028</v>
      </c>
      <c r="AT5" s="3">
        <f>AS5+AT4-(AH4*'"Fine Tune" Variables'!$G$9)</f>
        <v>82.500000000000028</v>
      </c>
      <c r="AU5" s="3">
        <f>AT5+AU4-(AI4*'"Fine Tune" Variables'!$G$9)</f>
        <v>85.000000000000028</v>
      </c>
      <c r="AV5" s="3">
        <f>AU5+AV4-(AJ4*'"Fine Tune" Variables'!$G$9)</f>
        <v>87.500000000000028</v>
      </c>
      <c r="AW5" s="3">
        <f>AV5+AW4-(AK4*'"Fine Tune" Variables'!$G$9)</f>
        <v>90.000000000000028</v>
      </c>
    </row>
    <row r="6" spans="1:50" hidden="1" x14ac:dyDescent="0.25">
      <c r="A6" s="10"/>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0" hidden="1" x14ac:dyDescent="0.25">
      <c r="A7" s="10" t="s">
        <v>118</v>
      </c>
      <c r="B7" s="40">
        <f>B5*'Key Variables'!$C$7</f>
        <v>62.5</v>
      </c>
      <c r="C7" s="3">
        <f>C5*'Key Variables'!$C$7</f>
        <v>125</v>
      </c>
      <c r="D7" s="3">
        <f>D5*'Key Variables'!$C$7</f>
        <v>187.5</v>
      </c>
      <c r="E7" s="3">
        <f>E5*'Key Variables'!$C$7</f>
        <v>250</v>
      </c>
      <c r="F7" s="3">
        <f>F5*'Key Variables'!$C$7</f>
        <v>312.5</v>
      </c>
      <c r="G7" s="3">
        <f>G5*'Key Variables'!$C$7</f>
        <v>375</v>
      </c>
      <c r="H7" s="3">
        <f>H5*'Key Variables'!$C$7</f>
        <v>437.5</v>
      </c>
      <c r="I7" s="3">
        <f>I5*'Key Variables'!$C$7</f>
        <v>500</v>
      </c>
      <c r="J7" s="3">
        <f>J5*'Key Variables'!$C$7</f>
        <v>562.5</v>
      </c>
      <c r="K7" s="3">
        <f>K5*'Key Variables'!$C$7</f>
        <v>625</v>
      </c>
      <c r="L7" s="3">
        <f>L5*'Key Variables'!$C$7</f>
        <v>687.5</v>
      </c>
      <c r="M7" s="3">
        <f>M5*'Key Variables'!$C$7</f>
        <v>750</v>
      </c>
      <c r="N7" s="3">
        <f>N5*'Key Variables'!$C$7</f>
        <v>833.33333333333337</v>
      </c>
      <c r="O7" s="3">
        <f>O5*'Key Variables'!$C$7</f>
        <v>916.66666666666674</v>
      </c>
      <c r="P7" s="3">
        <f>P5*'Key Variables'!$C$7</f>
        <v>1000.0000000000002</v>
      </c>
      <c r="Q7" s="3">
        <f>Q5*'Key Variables'!$C$7</f>
        <v>1083.3333333333335</v>
      </c>
      <c r="R7" s="3">
        <f>R5*'Key Variables'!$C$7</f>
        <v>1166.666666666667</v>
      </c>
      <c r="S7" s="3">
        <f>S5*'Key Variables'!$C$7</f>
        <v>1250.0000000000005</v>
      </c>
      <c r="T7" s="3">
        <f>T5*'Key Variables'!$C$7</f>
        <v>1333.3333333333337</v>
      </c>
      <c r="U7" s="3">
        <f>U5*'Key Variables'!$C$7</f>
        <v>1416.6666666666672</v>
      </c>
      <c r="V7" s="3">
        <f>V5*'Key Variables'!$C$7</f>
        <v>1500.0000000000005</v>
      </c>
      <c r="W7" s="3">
        <f>W5*'Key Variables'!$C$7</f>
        <v>1583.3333333333339</v>
      </c>
      <c r="X7" s="3">
        <f>X5*'Key Variables'!$C$7</f>
        <v>1666.6666666666672</v>
      </c>
      <c r="Y7" s="3">
        <f>Y5*'Key Variables'!$C$7</f>
        <v>1750.0000000000005</v>
      </c>
      <c r="Z7" s="3">
        <f>Z5*'Key Variables'!$C$7</f>
        <v>1854.1666666666672</v>
      </c>
      <c r="AA7" s="3">
        <f>AA5*'Key Variables'!$C$7</f>
        <v>1958.3333333333339</v>
      </c>
      <c r="AB7" s="3">
        <f>AB5*'Key Variables'!$C$7</f>
        <v>2062.5000000000009</v>
      </c>
      <c r="AC7" s="3">
        <f>AC5*'Key Variables'!$C$7</f>
        <v>2166.6666666666674</v>
      </c>
      <c r="AD7" s="3">
        <f>AD5*'Key Variables'!$C$7</f>
        <v>2270.8333333333344</v>
      </c>
      <c r="AE7" s="3">
        <f>AE5*'Key Variables'!$C$7</f>
        <v>2375.0000000000009</v>
      </c>
      <c r="AF7" s="3">
        <f>AF5*'Key Variables'!$C$7</f>
        <v>2479.1666666666679</v>
      </c>
      <c r="AG7" s="3">
        <f>AG5*'Key Variables'!$C$7</f>
        <v>2583.3333333333348</v>
      </c>
      <c r="AH7" s="3">
        <f>AH5*'Key Variables'!$C$7</f>
        <v>2687.5000000000014</v>
      </c>
      <c r="AI7" s="3">
        <f>AI5*'Key Variables'!$C$7</f>
        <v>2791.6666666666683</v>
      </c>
      <c r="AJ7" s="3">
        <f>AJ5*'Key Variables'!$C$7</f>
        <v>2895.8333333333348</v>
      </c>
      <c r="AK7" s="3">
        <f>AK5*'Key Variables'!$C$7</f>
        <v>3000.0000000000018</v>
      </c>
      <c r="AL7" s="3">
        <f>AL5*'Key Variables'!$C$7</f>
        <v>3125.0000000000018</v>
      </c>
      <c r="AM7" s="3">
        <f>AM5*'Key Variables'!$C$7</f>
        <v>3250.0000000000014</v>
      </c>
      <c r="AN7" s="3">
        <f>AN5*'Key Variables'!$C$7</f>
        <v>3375.0000000000014</v>
      </c>
      <c r="AO7" s="3">
        <f>AO5*'Key Variables'!$C$7</f>
        <v>3500.0000000000014</v>
      </c>
      <c r="AP7" s="3">
        <f>AP5*'Key Variables'!$C$7</f>
        <v>3625.0000000000014</v>
      </c>
      <c r="AQ7" s="3">
        <f>AQ5*'Key Variables'!$C$7</f>
        <v>3750.0000000000014</v>
      </c>
      <c r="AR7" s="3">
        <f>AR5*'Key Variables'!$C$7</f>
        <v>3875.0000000000014</v>
      </c>
      <c r="AS7" s="3">
        <f>AS5*'Key Variables'!$C$7</f>
        <v>4000.0000000000014</v>
      </c>
      <c r="AT7" s="3">
        <f>AT5*'Key Variables'!$C$7</f>
        <v>4125.0000000000018</v>
      </c>
      <c r="AU7" s="3">
        <f>AU5*'Key Variables'!$C$7</f>
        <v>4250.0000000000018</v>
      </c>
      <c r="AV7" s="3">
        <f>AV5*'Key Variables'!$C$7</f>
        <v>4375.0000000000018</v>
      </c>
      <c r="AW7" s="3">
        <f>AW5*'Key Variables'!$C$7</f>
        <v>4500.0000000000018</v>
      </c>
    </row>
    <row r="8" spans="1:50" hidden="1" x14ac:dyDescent="0.25">
      <c r="A8" s="10"/>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0" hidden="1" x14ac:dyDescent="0.25">
      <c r="A9" s="10" t="s">
        <v>119</v>
      </c>
      <c r="B9" s="37">
        <f>B5*'Key Variables'!$C$56/100</f>
        <v>0.1875</v>
      </c>
      <c r="C9" s="37">
        <f>C5*'Key Variables'!$C$56/100</f>
        <v>0.375</v>
      </c>
      <c r="D9" s="37">
        <f>D5*'Key Variables'!$C$56/100</f>
        <v>0.5625</v>
      </c>
      <c r="E9" s="3">
        <f>E5*'Key Variables'!$C$56/100</f>
        <v>0.75</v>
      </c>
      <c r="F9" s="3">
        <f>F5*'Key Variables'!$C$56/100</f>
        <v>0.9375</v>
      </c>
      <c r="G9" s="3">
        <f>G5*'Key Variables'!$C$56/100</f>
        <v>1.125</v>
      </c>
      <c r="H9" s="3">
        <f>H5*'Key Variables'!$C$56/100</f>
        <v>1.3125</v>
      </c>
      <c r="I9" s="3">
        <f>I5*'Key Variables'!$C$56/100</f>
        <v>1.5</v>
      </c>
      <c r="J9" s="3">
        <f>J5*'Key Variables'!$C$56/100</f>
        <v>1.6875</v>
      </c>
      <c r="K9" s="3">
        <f>K5*'Key Variables'!$C$56/100</f>
        <v>1.875</v>
      </c>
      <c r="L9" s="3">
        <f>L5*'Key Variables'!$C$56/100</f>
        <v>2.0625</v>
      </c>
      <c r="M9" s="3">
        <f>M5*'Key Variables'!$C$56/100</f>
        <v>2.25</v>
      </c>
      <c r="N9" s="3">
        <f>N5*'Key Variables'!$C$56/100</f>
        <v>2.5000000000000004</v>
      </c>
      <c r="O9" s="3">
        <f>O5*'Key Variables'!$C$56/100</f>
        <v>2.7500000000000004</v>
      </c>
      <c r="P9" s="3">
        <f>P5*'Key Variables'!$C$56/100</f>
        <v>3.0000000000000004</v>
      </c>
      <c r="Q9" s="3">
        <f>Q5*'Key Variables'!$C$56/100</f>
        <v>3.2500000000000004</v>
      </c>
      <c r="R9" s="3">
        <f>R5*'Key Variables'!$C$56/100</f>
        <v>3.5000000000000013</v>
      </c>
      <c r="S9" s="3">
        <f>S5*'Key Variables'!$C$56/100</f>
        <v>3.7500000000000013</v>
      </c>
      <c r="T9" s="3">
        <f>T5*'Key Variables'!$C$56/100</f>
        <v>4.0000000000000009</v>
      </c>
      <c r="U9" s="3">
        <f>U5*'Key Variables'!$C$56/100</f>
        <v>4.2500000000000009</v>
      </c>
      <c r="V9" s="3">
        <f>V5*'Key Variables'!$C$56/100</f>
        <v>4.5000000000000018</v>
      </c>
      <c r="W9" s="3">
        <f>W5*'Key Variables'!$C$56/100</f>
        <v>4.7500000000000018</v>
      </c>
      <c r="X9" s="3">
        <f>X5*'Key Variables'!$C$56/100</f>
        <v>5.0000000000000009</v>
      </c>
      <c r="Y9" s="3">
        <f>Y5*'Key Variables'!$C$56/100</f>
        <v>5.2500000000000009</v>
      </c>
      <c r="Z9" s="3">
        <f>Z5*'Key Variables'!$C$56/100</f>
        <v>5.5625000000000009</v>
      </c>
      <c r="AA9" s="3">
        <f>AA5*'Key Variables'!$C$56/100</f>
        <v>5.8750000000000027</v>
      </c>
      <c r="AB9" s="3">
        <f>AB5*'Key Variables'!$C$56/100</f>
        <v>6.1875000000000027</v>
      </c>
      <c r="AC9" s="3">
        <f>AC5*'Key Variables'!$C$56/100</f>
        <v>6.5000000000000027</v>
      </c>
      <c r="AD9" s="3">
        <f>AD5*'Key Variables'!$C$56/100</f>
        <v>6.8125000000000027</v>
      </c>
      <c r="AE9" s="3">
        <f>AE5*'Key Variables'!$C$56/100</f>
        <v>7.1250000000000036</v>
      </c>
      <c r="AF9" s="3">
        <f>AF5*'Key Variables'!$C$56/100</f>
        <v>7.4375000000000036</v>
      </c>
      <c r="AG9" s="3">
        <f>AG5*'Key Variables'!$C$56/100</f>
        <v>7.7500000000000036</v>
      </c>
      <c r="AH9" s="3">
        <f>AH5*'Key Variables'!$C$56/100</f>
        <v>8.0625000000000053</v>
      </c>
      <c r="AI9" s="3">
        <f>AI5*'Key Variables'!$C$56/100</f>
        <v>8.3750000000000053</v>
      </c>
      <c r="AJ9" s="3">
        <f>AJ5*'Key Variables'!$C$56/100</f>
        <v>8.6875000000000053</v>
      </c>
      <c r="AK9" s="3">
        <f>AK5*'Key Variables'!$C$56/100</f>
        <v>9.0000000000000053</v>
      </c>
      <c r="AL9" s="3">
        <f>AL5*'Key Variables'!$C$56/100</f>
        <v>9.3750000000000053</v>
      </c>
      <c r="AM9" s="3">
        <f>AM5*'Key Variables'!$C$56/100</f>
        <v>9.7500000000000053</v>
      </c>
      <c r="AN9" s="3">
        <f>AN5*'Key Variables'!$C$56/100</f>
        <v>10.125000000000005</v>
      </c>
      <c r="AO9" s="3">
        <f>AO5*'Key Variables'!$C$56/100</f>
        <v>10.500000000000005</v>
      </c>
      <c r="AP9" s="3">
        <f>AP5*'Key Variables'!$C$56/100</f>
        <v>10.875000000000005</v>
      </c>
      <c r="AQ9" s="3">
        <f>AQ5*'Key Variables'!$C$56/100</f>
        <v>11.250000000000005</v>
      </c>
      <c r="AR9" s="3">
        <f>AR5*'Key Variables'!$C$56/100</f>
        <v>11.625000000000005</v>
      </c>
      <c r="AS9" s="3">
        <f>AS5*'Key Variables'!$C$56/100</f>
        <v>12.000000000000005</v>
      </c>
      <c r="AT9" s="3">
        <f>AT5*'Key Variables'!$C$56/100</f>
        <v>12.375000000000005</v>
      </c>
      <c r="AU9" s="3">
        <f>AU5*'Key Variables'!$C$56/100</f>
        <v>12.750000000000005</v>
      </c>
      <c r="AV9" s="3">
        <f>AV5*'Key Variables'!$C$56/100</f>
        <v>13.125000000000005</v>
      </c>
      <c r="AW9" s="3">
        <f>AW5*'Key Variables'!$C$56/100</f>
        <v>13.500000000000005</v>
      </c>
      <c r="AX9" s="58">
        <f>AW9/$AW$5</f>
        <v>0.15000000000000002</v>
      </c>
    </row>
    <row r="10" spans="1:50" hidden="1" x14ac:dyDescent="0.25">
      <c r="A10" s="10" t="s">
        <v>125</v>
      </c>
      <c r="B10" s="37">
        <f>B5*'Key Variables'!$C$57/100</f>
        <v>0.625</v>
      </c>
      <c r="C10" s="37">
        <f>C5*'Key Variables'!$C$57/100</f>
        <v>1.25</v>
      </c>
      <c r="D10" s="37">
        <f>D5*'Key Variables'!$C$57/100</f>
        <v>1.875</v>
      </c>
      <c r="E10" s="37">
        <f>E5*'Key Variables'!$C$57/100</f>
        <v>2.5</v>
      </c>
      <c r="F10" s="37">
        <f>F5*'Key Variables'!$C$57/100</f>
        <v>3.125</v>
      </c>
      <c r="G10" s="37">
        <f>G5*'Key Variables'!$C$57/100</f>
        <v>3.75</v>
      </c>
      <c r="H10" s="37">
        <f>H5*'Key Variables'!$C$57/100</f>
        <v>4.375</v>
      </c>
      <c r="I10" s="37">
        <f>I5*'Key Variables'!$C$57/100</f>
        <v>5</v>
      </c>
      <c r="J10" s="37">
        <f>J5*'Key Variables'!$C$57/100</f>
        <v>5.625</v>
      </c>
      <c r="K10" s="37">
        <f>K5*'Key Variables'!$C$57/100</f>
        <v>6.25</v>
      </c>
      <c r="L10" s="37">
        <f>L5*'Key Variables'!$C$57/100</f>
        <v>6.875</v>
      </c>
      <c r="M10" s="37">
        <f>M5*'Key Variables'!$C$57/100</f>
        <v>7.5</v>
      </c>
      <c r="N10" s="37">
        <f>N5*'Key Variables'!$C$57/100</f>
        <v>8.3333333333333339</v>
      </c>
      <c r="O10" s="37">
        <f>O5*'Key Variables'!$C$57/100</f>
        <v>9.1666666666666679</v>
      </c>
      <c r="P10" s="37">
        <f>P5*'Key Variables'!$C$57/100</f>
        <v>10.000000000000002</v>
      </c>
      <c r="Q10" s="37">
        <f>Q5*'Key Variables'!$C$57/100</f>
        <v>10.833333333333336</v>
      </c>
      <c r="R10" s="37">
        <f>R5*'Key Variables'!$C$57/100</f>
        <v>11.66666666666667</v>
      </c>
      <c r="S10" s="37">
        <f>S5*'Key Variables'!$C$57/100</f>
        <v>12.500000000000005</v>
      </c>
      <c r="T10" s="37">
        <f>T5*'Key Variables'!$C$57/100</f>
        <v>13.333333333333337</v>
      </c>
      <c r="U10" s="37">
        <f>U5*'Key Variables'!$C$57/100</f>
        <v>14.166666666666671</v>
      </c>
      <c r="V10" s="37">
        <f>V5*'Key Variables'!$C$57/100</f>
        <v>15.000000000000005</v>
      </c>
      <c r="W10" s="37">
        <f>W5*'Key Variables'!$C$57/100</f>
        <v>15.833333333333339</v>
      </c>
      <c r="X10" s="37">
        <f>X5*'Key Variables'!$C$57/100</f>
        <v>16.666666666666671</v>
      </c>
      <c r="Y10" s="37">
        <f>Y5*'Key Variables'!$C$57/100</f>
        <v>17.500000000000004</v>
      </c>
      <c r="Z10" s="37">
        <f>Z5*'Key Variables'!$C$57/100</f>
        <v>18.541666666666671</v>
      </c>
      <c r="AA10" s="37">
        <f>AA5*'Key Variables'!$C$57/100</f>
        <v>19.583333333333339</v>
      </c>
      <c r="AB10" s="37">
        <f>AB5*'Key Variables'!$C$57/100</f>
        <v>20.625000000000011</v>
      </c>
      <c r="AC10" s="37">
        <f>AC5*'Key Variables'!$C$57/100</f>
        <v>21.666666666666675</v>
      </c>
      <c r="AD10" s="37">
        <f>AD5*'Key Variables'!$C$57/100</f>
        <v>22.708333333333343</v>
      </c>
      <c r="AE10" s="37">
        <f>AE5*'Key Variables'!$C$57/100</f>
        <v>23.750000000000011</v>
      </c>
      <c r="AF10" s="37">
        <f>AF5*'Key Variables'!$C$57/100</f>
        <v>24.791666666666679</v>
      </c>
      <c r="AG10" s="37">
        <f>AG5*'Key Variables'!$C$57/100</f>
        <v>25.83333333333335</v>
      </c>
      <c r="AH10" s="37">
        <f>AH5*'Key Variables'!$C$57/100</f>
        <v>26.875000000000014</v>
      </c>
      <c r="AI10" s="37">
        <f>AI5*'Key Variables'!$C$57/100</f>
        <v>27.916666666666682</v>
      </c>
      <c r="AJ10" s="37">
        <f>AJ5*'Key Variables'!$C$57/100</f>
        <v>28.95833333333335</v>
      </c>
      <c r="AK10" s="37">
        <f>AK5*'Key Variables'!$C$57/100</f>
        <v>30.000000000000018</v>
      </c>
      <c r="AL10" s="37">
        <f>AL5*'Key Variables'!$C$57/100</f>
        <v>31.250000000000018</v>
      </c>
      <c r="AM10" s="37">
        <f>AM5*'Key Variables'!$C$57/100</f>
        <v>32.500000000000014</v>
      </c>
      <c r="AN10" s="37">
        <f>AN5*'Key Variables'!$C$57/100</f>
        <v>33.750000000000014</v>
      </c>
      <c r="AO10" s="37">
        <f>AO5*'Key Variables'!$C$57/100</f>
        <v>35.000000000000014</v>
      </c>
      <c r="AP10" s="37">
        <f>AP5*'Key Variables'!$C$57/100</f>
        <v>36.250000000000014</v>
      </c>
      <c r="AQ10" s="37">
        <f>AQ5*'Key Variables'!$C$57/100</f>
        <v>37.500000000000014</v>
      </c>
      <c r="AR10" s="37">
        <f>AR5*'Key Variables'!$C$57/100</f>
        <v>38.750000000000014</v>
      </c>
      <c r="AS10" s="37">
        <f>AS5*'Key Variables'!$C$57/100</f>
        <v>40.000000000000014</v>
      </c>
      <c r="AT10" s="37">
        <f>AT5*'Key Variables'!$C$57/100</f>
        <v>41.250000000000021</v>
      </c>
      <c r="AU10" s="37">
        <f>AU5*'Key Variables'!$C$57/100</f>
        <v>42.500000000000021</v>
      </c>
      <c r="AV10" s="37">
        <f>AV5*'Key Variables'!$C$57/100</f>
        <v>43.750000000000021</v>
      </c>
      <c r="AW10" s="37">
        <f>AW5*'Key Variables'!$C$57/100</f>
        <v>45.000000000000021</v>
      </c>
      <c r="AX10" s="58">
        <f t="shared" ref="AX10:AX14" si="1">AW10/$AW$5</f>
        <v>0.50000000000000011</v>
      </c>
    </row>
    <row r="11" spans="1:50" hidden="1" x14ac:dyDescent="0.25">
      <c r="A11" s="10" t="s">
        <v>239</v>
      </c>
      <c r="B11" s="37">
        <f>B5*'Key Variables'!$C$55/100</f>
        <v>0.625</v>
      </c>
      <c r="C11" s="37">
        <f>C5*'Key Variables'!$C$55/100</f>
        <v>1.25</v>
      </c>
      <c r="D11" s="37">
        <f>D5*'Key Variables'!$C$55/100</f>
        <v>1.875</v>
      </c>
      <c r="E11" s="37">
        <f>E5*'Key Variables'!$C$55/100</f>
        <v>2.5</v>
      </c>
      <c r="F11" s="37">
        <f>F5*'Key Variables'!$C$55/100</f>
        <v>3.125</v>
      </c>
      <c r="G11" s="37">
        <f>G5*'Key Variables'!$C$55/100</f>
        <v>3.75</v>
      </c>
      <c r="H11" s="37">
        <f>H5*'Key Variables'!$C$55/100</f>
        <v>4.375</v>
      </c>
      <c r="I11" s="37">
        <f>I5*'Key Variables'!$C$55/100</f>
        <v>5</v>
      </c>
      <c r="J11" s="37">
        <f>J5*'Key Variables'!$C$55/100</f>
        <v>5.625</v>
      </c>
      <c r="K11" s="37">
        <f>K5*'Key Variables'!$C$55/100</f>
        <v>6.25</v>
      </c>
      <c r="L11" s="37">
        <f>L5*'Key Variables'!$C$55/100</f>
        <v>6.875</v>
      </c>
      <c r="M11" s="37">
        <f>M5*'Key Variables'!$C$55/100</f>
        <v>7.5</v>
      </c>
      <c r="N11" s="37">
        <f>N5*'Key Variables'!$C$55/100</f>
        <v>8.3333333333333339</v>
      </c>
      <c r="O11" s="37">
        <f>O5*'Key Variables'!$C$55/100</f>
        <v>9.1666666666666679</v>
      </c>
      <c r="P11" s="37">
        <f>P5*'Key Variables'!$C$55/100</f>
        <v>10.000000000000002</v>
      </c>
      <c r="Q11" s="37">
        <f>Q5*'Key Variables'!$C$55/100</f>
        <v>10.833333333333336</v>
      </c>
      <c r="R11" s="37">
        <f>R5*'Key Variables'!$C$55/100</f>
        <v>11.66666666666667</v>
      </c>
      <c r="S11" s="37">
        <f>S5*'Key Variables'!$C$55/100</f>
        <v>12.500000000000005</v>
      </c>
      <c r="T11" s="37">
        <f>T5*'Key Variables'!$C$55/100</f>
        <v>13.333333333333337</v>
      </c>
      <c r="U11" s="37">
        <f>U5*'Key Variables'!$C$55/100</f>
        <v>14.166666666666671</v>
      </c>
      <c r="V11" s="37">
        <f>V5*'Key Variables'!$C$55/100</f>
        <v>15.000000000000005</v>
      </c>
      <c r="W11" s="37">
        <f>W5*'Key Variables'!$C$55/100</f>
        <v>15.833333333333339</v>
      </c>
      <c r="X11" s="37">
        <f>X5*'Key Variables'!$C$55/100</f>
        <v>16.666666666666671</v>
      </c>
      <c r="Y11" s="37">
        <f>Y5*'Key Variables'!$C$55/100</f>
        <v>17.500000000000004</v>
      </c>
      <c r="Z11" s="37">
        <f>Z5*'Key Variables'!$C$55/100</f>
        <v>18.541666666666671</v>
      </c>
      <c r="AA11" s="37">
        <f>AA5*'Key Variables'!$C$55/100</f>
        <v>19.583333333333339</v>
      </c>
      <c r="AB11" s="37">
        <f>AB5*'Key Variables'!$C$55/100</f>
        <v>20.625000000000011</v>
      </c>
      <c r="AC11" s="37">
        <f>AC5*'Key Variables'!$C$55/100</f>
        <v>21.666666666666675</v>
      </c>
      <c r="AD11" s="37">
        <f>AD5*'Key Variables'!$C$55/100</f>
        <v>22.708333333333343</v>
      </c>
      <c r="AE11" s="37">
        <f>AE5*'Key Variables'!$C$55/100</f>
        <v>23.750000000000011</v>
      </c>
      <c r="AF11" s="37">
        <f>AF5*'Key Variables'!$C$55/100</f>
        <v>24.791666666666679</v>
      </c>
      <c r="AG11" s="37">
        <f>AG5*'Key Variables'!$C$55/100</f>
        <v>25.83333333333335</v>
      </c>
      <c r="AH11" s="37">
        <f>AH5*'Key Variables'!$C$55/100</f>
        <v>26.875000000000014</v>
      </c>
      <c r="AI11" s="37">
        <f>AI5*'Key Variables'!$C$55/100</f>
        <v>27.916666666666682</v>
      </c>
      <c r="AJ11" s="37">
        <f>AJ5*'Key Variables'!$C$55/100</f>
        <v>28.95833333333335</v>
      </c>
      <c r="AK11" s="37">
        <f>AK5*'Key Variables'!$C$55/100</f>
        <v>30.000000000000018</v>
      </c>
      <c r="AL11" s="37">
        <f>AL5*'Key Variables'!$C$55/100</f>
        <v>31.250000000000018</v>
      </c>
      <c r="AM11" s="37">
        <f>AM5*'Key Variables'!$C$55/100</f>
        <v>32.500000000000014</v>
      </c>
      <c r="AN11" s="37">
        <f>AN5*'Key Variables'!$C$55/100</f>
        <v>33.750000000000014</v>
      </c>
      <c r="AO11" s="37">
        <f>AO5*'Key Variables'!$C$55/100</f>
        <v>35.000000000000014</v>
      </c>
      <c r="AP11" s="37">
        <f>AP5*'Key Variables'!$C$55/100</f>
        <v>36.250000000000014</v>
      </c>
      <c r="AQ11" s="37">
        <f>AQ5*'Key Variables'!$C$55/100</f>
        <v>37.500000000000014</v>
      </c>
      <c r="AR11" s="37">
        <f>AR5*'Key Variables'!$C$55/100</f>
        <v>38.750000000000014</v>
      </c>
      <c r="AS11" s="37">
        <f>AS5*'Key Variables'!$C$55/100</f>
        <v>40.000000000000014</v>
      </c>
      <c r="AT11" s="37">
        <f>AT5*'Key Variables'!$C$55/100</f>
        <v>41.250000000000021</v>
      </c>
      <c r="AU11" s="37">
        <f>AU5*'Key Variables'!$C$55/100</f>
        <v>42.500000000000021</v>
      </c>
      <c r="AV11" s="37">
        <f>AV5*'Key Variables'!$C$55/100</f>
        <v>43.750000000000021</v>
      </c>
      <c r="AW11" s="37">
        <f>AW5*'Key Variables'!$C$55/100</f>
        <v>45.000000000000021</v>
      </c>
      <c r="AX11" s="58">
        <f t="shared" si="1"/>
        <v>0.50000000000000011</v>
      </c>
    </row>
    <row r="12" spans="1:50" hidden="1" x14ac:dyDescent="0.25">
      <c r="A12" s="10" t="s">
        <v>126</v>
      </c>
      <c r="B12" s="37">
        <f>B5*'Key Variables'!$C$58/100</f>
        <v>0.625</v>
      </c>
      <c r="C12" s="37">
        <f>C5*'Key Variables'!$C$58/100</f>
        <v>1.25</v>
      </c>
      <c r="D12" s="37">
        <f>D5*'Key Variables'!$C$58/100</f>
        <v>1.875</v>
      </c>
      <c r="E12" s="37">
        <f>E5*'Key Variables'!$C$58/100</f>
        <v>2.5</v>
      </c>
      <c r="F12" s="37">
        <f>F5*'Key Variables'!$C$58/100</f>
        <v>3.125</v>
      </c>
      <c r="G12" s="37">
        <f>G5*'Key Variables'!$C$58/100</f>
        <v>3.75</v>
      </c>
      <c r="H12" s="37">
        <f>H5*'Key Variables'!$C$58/100</f>
        <v>4.375</v>
      </c>
      <c r="I12" s="37">
        <f>I5*'Key Variables'!$C$58/100</f>
        <v>5</v>
      </c>
      <c r="J12" s="37">
        <f>J5*'Key Variables'!$C$58/100</f>
        <v>5.625</v>
      </c>
      <c r="K12" s="37">
        <f>K5*'Key Variables'!$C$58/100</f>
        <v>6.25</v>
      </c>
      <c r="L12" s="37">
        <f>L5*'Key Variables'!$C$58/100</f>
        <v>6.875</v>
      </c>
      <c r="M12" s="37">
        <f>M5*'Key Variables'!$C$58/100</f>
        <v>7.5</v>
      </c>
      <c r="N12" s="37">
        <f>N5*'Key Variables'!$C$58/100</f>
        <v>8.3333333333333339</v>
      </c>
      <c r="O12" s="37">
        <f>O5*'Key Variables'!$C$58/100</f>
        <v>9.1666666666666679</v>
      </c>
      <c r="P12" s="37">
        <f>P5*'Key Variables'!$C$58/100</f>
        <v>10.000000000000002</v>
      </c>
      <c r="Q12" s="37">
        <f>Q5*'Key Variables'!$C$58/100</f>
        <v>10.833333333333336</v>
      </c>
      <c r="R12" s="37">
        <f>R5*'Key Variables'!$C$58/100</f>
        <v>11.66666666666667</v>
      </c>
      <c r="S12" s="37">
        <f>S5*'Key Variables'!$C$58/100</f>
        <v>12.500000000000005</v>
      </c>
      <c r="T12" s="37">
        <f>T5*'Key Variables'!$C$58/100</f>
        <v>13.333333333333337</v>
      </c>
      <c r="U12" s="37">
        <f>U5*'Key Variables'!$C$58/100</f>
        <v>14.166666666666671</v>
      </c>
      <c r="V12" s="37">
        <f>V5*'Key Variables'!$C$58/100</f>
        <v>15.000000000000005</v>
      </c>
      <c r="W12" s="37">
        <f>W5*'Key Variables'!$C$58/100</f>
        <v>15.833333333333339</v>
      </c>
      <c r="X12" s="37">
        <f>X5*'Key Variables'!$C$58/100</f>
        <v>16.666666666666671</v>
      </c>
      <c r="Y12" s="37">
        <f>Y5*'Key Variables'!$C$58/100</f>
        <v>17.500000000000004</v>
      </c>
      <c r="Z12" s="37">
        <f>Z5*'Key Variables'!$C$58/100</f>
        <v>18.541666666666671</v>
      </c>
      <c r="AA12" s="37">
        <f>AA5*'Key Variables'!$C$58/100</f>
        <v>19.583333333333339</v>
      </c>
      <c r="AB12" s="37">
        <f>AB5*'Key Variables'!$C$58/100</f>
        <v>20.625000000000011</v>
      </c>
      <c r="AC12" s="37">
        <f>AC5*'Key Variables'!$C$58/100</f>
        <v>21.666666666666675</v>
      </c>
      <c r="AD12" s="37">
        <f>AD5*'Key Variables'!$C$58/100</f>
        <v>22.708333333333343</v>
      </c>
      <c r="AE12" s="37">
        <f>AE5*'Key Variables'!$C$58/100</f>
        <v>23.750000000000011</v>
      </c>
      <c r="AF12" s="37">
        <f>AF5*'Key Variables'!$C$58/100</f>
        <v>24.791666666666679</v>
      </c>
      <c r="AG12" s="37">
        <f>AG5*'Key Variables'!$C$58/100</f>
        <v>25.83333333333335</v>
      </c>
      <c r="AH12" s="37">
        <f>AH5*'Key Variables'!$C$58/100</f>
        <v>26.875000000000014</v>
      </c>
      <c r="AI12" s="37">
        <f>AI5*'Key Variables'!$C$58/100</f>
        <v>27.916666666666682</v>
      </c>
      <c r="AJ12" s="37">
        <f>AJ5*'Key Variables'!$C$58/100</f>
        <v>28.95833333333335</v>
      </c>
      <c r="AK12" s="37">
        <f>AK5*'Key Variables'!$C$58/100</f>
        <v>30.000000000000018</v>
      </c>
      <c r="AL12" s="37">
        <f>AL5*'Key Variables'!$C$58/100</f>
        <v>31.250000000000018</v>
      </c>
      <c r="AM12" s="37">
        <f>AM5*'Key Variables'!$C$58/100</f>
        <v>32.500000000000014</v>
      </c>
      <c r="AN12" s="37">
        <f>AN5*'Key Variables'!$C$58/100</f>
        <v>33.750000000000014</v>
      </c>
      <c r="AO12" s="37">
        <f>AO5*'Key Variables'!$C$58/100</f>
        <v>35.000000000000014</v>
      </c>
      <c r="AP12" s="37">
        <f>AP5*'Key Variables'!$C$58/100</f>
        <v>36.250000000000014</v>
      </c>
      <c r="AQ12" s="37">
        <f>AQ5*'Key Variables'!$C$58/100</f>
        <v>37.500000000000014</v>
      </c>
      <c r="AR12" s="37">
        <f>AR5*'Key Variables'!$C$58/100</f>
        <v>38.750000000000014</v>
      </c>
      <c r="AS12" s="37">
        <f>AS5*'Key Variables'!$C$58/100</f>
        <v>40.000000000000014</v>
      </c>
      <c r="AT12" s="37">
        <f>AT5*'Key Variables'!$C$58/100</f>
        <v>41.250000000000021</v>
      </c>
      <c r="AU12" s="37">
        <f>AU5*'Key Variables'!$C$58/100</f>
        <v>42.500000000000021</v>
      </c>
      <c r="AV12" s="37">
        <f>AV5*'Key Variables'!$C$58/100</f>
        <v>43.750000000000021</v>
      </c>
      <c r="AW12" s="37">
        <f>AW5*'Key Variables'!$C$58/100</f>
        <v>45.000000000000021</v>
      </c>
      <c r="AX12" s="58">
        <f t="shared" si="1"/>
        <v>0.50000000000000011</v>
      </c>
    </row>
    <row r="13" spans="1:50" hidden="1" x14ac:dyDescent="0.25">
      <c r="A13" s="10" t="s">
        <v>141</v>
      </c>
      <c r="B13" s="37">
        <f>B5*'Key Variables'!$C$60/100</f>
        <v>1.25</v>
      </c>
      <c r="C13" s="37">
        <f>C5*'Key Variables'!$C$60/100</f>
        <v>2.5</v>
      </c>
      <c r="D13" s="37">
        <f>D5*'Key Variables'!$C$60/100</f>
        <v>3.75</v>
      </c>
      <c r="E13" s="37">
        <f>E5*'Key Variables'!$C$60/100</f>
        <v>5</v>
      </c>
      <c r="F13" s="37">
        <f>F5*'Key Variables'!$C$60/100</f>
        <v>6.25</v>
      </c>
      <c r="G13" s="37">
        <f>G5*'Key Variables'!$C$60/100</f>
        <v>7.5</v>
      </c>
      <c r="H13" s="37">
        <f>H5*'Key Variables'!$C$60/100</f>
        <v>8.75</v>
      </c>
      <c r="I13" s="37">
        <f>I5*'Key Variables'!$C$60/100</f>
        <v>10</v>
      </c>
      <c r="J13" s="37">
        <f>J5*'Key Variables'!$C$60/100</f>
        <v>11.25</v>
      </c>
      <c r="K13" s="37">
        <f>K5*'Key Variables'!$C$60/100</f>
        <v>12.5</v>
      </c>
      <c r="L13" s="37">
        <f>L5*'Key Variables'!$C$60/100</f>
        <v>13.75</v>
      </c>
      <c r="M13" s="37">
        <f>M5*'Key Variables'!$C$60/100</f>
        <v>15</v>
      </c>
      <c r="N13" s="37">
        <f>N5*'Key Variables'!$C$60/100</f>
        <v>16.666666666666668</v>
      </c>
      <c r="O13" s="37">
        <f>O5*'Key Variables'!$C$60/100</f>
        <v>18.333333333333336</v>
      </c>
      <c r="P13" s="37">
        <f>P5*'Key Variables'!$C$60/100</f>
        <v>20.000000000000004</v>
      </c>
      <c r="Q13" s="37">
        <f>Q5*'Key Variables'!$C$60/100</f>
        <v>21.666666666666671</v>
      </c>
      <c r="R13" s="37">
        <f>R5*'Key Variables'!$C$60/100</f>
        <v>23.333333333333339</v>
      </c>
      <c r="S13" s="37">
        <f>S5*'Key Variables'!$C$60/100</f>
        <v>25.000000000000011</v>
      </c>
      <c r="T13" s="37">
        <f>T5*'Key Variables'!$C$60/100</f>
        <v>26.666666666666675</v>
      </c>
      <c r="U13" s="37">
        <f>U5*'Key Variables'!$C$60/100</f>
        <v>28.333333333333343</v>
      </c>
      <c r="V13" s="37">
        <f>V5*'Key Variables'!$C$60/100</f>
        <v>30.000000000000011</v>
      </c>
      <c r="W13" s="37">
        <f>W5*'Key Variables'!$C$60/100</f>
        <v>31.666666666666679</v>
      </c>
      <c r="X13" s="37">
        <f>X5*'Key Variables'!$C$60/100</f>
        <v>33.333333333333343</v>
      </c>
      <c r="Y13" s="37">
        <f>Y5*'Key Variables'!$C$60/100</f>
        <v>35.000000000000007</v>
      </c>
      <c r="Z13" s="37">
        <f>Z5*'Key Variables'!$C$60/100</f>
        <v>37.083333333333343</v>
      </c>
      <c r="AA13" s="37">
        <f>AA5*'Key Variables'!$C$60/100</f>
        <v>39.166666666666679</v>
      </c>
      <c r="AB13" s="37">
        <f>AB5*'Key Variables'!$C$60/100</f>
        <v>41.250000000000021</v>
      </c>
      <c r="AC13" s="37">
        <f>AC5*'Key Variables'!$C$60/100</f>
        <v>43.33333333333335</v>
      </c>
      <c r="AD13" s="37">
        <f>AD5*'Key Variables'!$C$60/100</f>
        <v>45.416666666666686</v>
      </c>
      <c r="AE13" s="37">
        <f>AE5*'Key Variables'!$C$60/100</f>
        <v>47.500000000000021</v>
      </c>
      <c r="AF13" s="37">
        <f>AF5*'Key Variables'!$C$60/100</f>
        <v>49.583333333333357</v>
      </c>
      <c r="AG13" s="37">
        <f>AG5*'Key Variables'!$C$60/100</f>
        <v>51.6666666666667</v>
      </c>
      <c r="AH13" s="37">
        <f>AH5*'Key Variables'!$C$60/100</f>
        <v>53.750000000000028</v>
      </c>
      <c r="AI13" s="37">
        <f>AI5*'Key Variables'!$C$60/100</f>
        <v>55.833333333333364</v>
      </c>
      <c r="AJ13" s="37">
        <f>AJ5*'Key Variables'!$C$60/100</f>
        <v>57.9166666666667</v>
      </c>
      <c r="AK13" s="37">
        <f>AK5*'Key Variables'!$C$60/100</f>
        <v>60.000000000000036</v>
      </c>
      <c r="AL13" s="37">
        <f>AL5*'Key Variables'!$C$60/100</f>
        <v>62.500000000000036</v>
      </c>
      <c r="AM13" s="37">
        <f>AM5*'Key Variables'!$C$60/100</f>
        <v>65.000000000000028</v>
      </c>
      <c r="AN13" s="37">
        <f>AN5*'Key Variables'!$C$60/100</f>
        <v>67.500000000000028</v>
      </c>
      <c r="AO13" s="37">
        <f>AO5*'Key Variables'!$C$60/100</f>
        <v>70.000000000000028</v>
      </c>
      <c r="AP13" s="37">
        <f>AP5*'Key Variables'!$C$60/100</f>
        <v>72.500000000000028</v>
      </c>
      <c r="AQ13" s="37">
        <f>AQ5*'Key Variables'!$C$60/100</f>
        <v>75.000000000000028</v>
      </c>
      <c r="AR13" s="37">
        <f>AR5*'Key Variables'!$C$60/100</f>
        <v>77.500000000000028</v>
      </c>
      <c r="AS13" s="37">
        <f>AS5*'Key Variables'!$C$60/100</f>
        <v>80.000000000000028</v>
      </c>
      <c r="AT13" s="37">
        <f>AT5*'Key Variables'!$C$60/100</f>
        <v>82.500000000000043</v>
      </c>
      <c r="AU13" s="37">
        <f>AU5*'Key Variables'!$C$60/100</f>
        <v>85.000000000000043</v>
      </c>
      <c r="AV13" s="37">
        <f>AV5*'Key Variables'!$C$60/100</f>
        <v>87.500000000000043</v>
      </c>
      <c r="AW13" s="37">
        <f>AW5*'Key Variables'!$C$60/100</f>
        <v>90.000000000000043</v>
      </c>
      <c r="AX13" s="58">
        <f t="shared" si="1"/>
        <v>1.0000000000000002</v>
      </c>
    </row>
    <row r="14" spans="1:50" hidden="1" x14ac:dyDescent="0.25">
      <c r="A14" s="10" t="s">
        <v>137</v>
      </c>
      <c r="B14" s="37">
        <f>B5*'Key Variables'!$C$59/100</f>
        <v>0.625</v>
      </c>
      <c r="C14" s="37">
        <f>C5*'Key Variables'!$C$59/100</f>
        <v>1.25</v>
      </c>
      <c r="D14" s="37">
        <f>D5*'Key Variables'!$C$59/100</f>
        <v>1.875</v>
      </c>
      <c r="E14" s="37">
        <f>E5*'Key Variables'!$C$59/100</f>
        <v>2.5</v>
      </c>
      <c r="F14" s="37">
        <f>F5*'Key Variables'!$C$59/100</f>
        <v>3.125</v>
      </c>
      <c r="G14" s="37">
        <f>G5*'Key Variables'!$C$59/100</f>
        <v>3.75</v>
      </c>
      <c r="H14" s="37">
        <f>H5*'Key Variables'!$C$59/100</f>
        <v>4.375</v>
      </c>
      <c r="I14" s="37">
        <f>I5*'Key Variables'!$C$59/100</f>
        <v>5</v>
      </c>
      <c r="J14" s="37">
        <f>J5*'Key Variables'!$C$59/100</f>
        <v>5.625</v>
      </c>
      <c r="K14" s="37">
        <f>K5*'Key Variables'!$C$59/100</f>
        <v>6.25</v>
      </c>
      <c r="L14" s="37">
        <f>L5*'Key Variables'!$C$59/100</f>
        <v>6.875</v>
      </c>
      <c r="M14" s="37">
        <f>M5*'Key Variables'!$C$59/100</f>
        <v>7.5</v>
      </c>
      <c r="N14" s="37">
        <f>N5*'Key Variables'!$C$59/100</f>
        <v>8.3333333333333339</v>
      </c>
      <c r="O14" s="37">
        <f>O5*'Key Variables'!$C$59/100</f>
        <v>9.1666666666666679</v>
      </c>
      <c r="P14" s="37">
        <f>P5*'Key Variables'!$C$59/100</f>
        <v>10.000000000000002</v>
      </c>
      <c r="Q14" s="37">
        <f>Q5*'Key Variables'!$C$59/100</f>
        <v>10.833333333333336</v>
      </c>
      <c r="R14" s="37">
        <f>R5*'Key Variables'!$C$59/100</f>
        <v>11.66666666666667</v>
      </c>
      <c r="S14" s="37">
        <f>S5*'Key Variables'!$C$59/100</f>
        <v>12.500000000000005</v>
      </c>
      <c r="T14" s="37">
        <f>T5*'Key Variables'!$C$59/100</f>
        <v>13.333333333333337</v>
      </c>
      <c r="U14" s="37">
        <f>U5*'Key Variables'!$C$59/100</f>
        <v>14.166666666666671</v>
      </c>
      <c r="V14" s="37">
        <f>V5*'Key Variables'!$C$59/100</f>
        <v>15.000000000000005</v>
      </c>
      <c r="W14" s="37">
        <f>W5*'Key Variables'!$C$59/100</f>
        <v>15.833333333333339</v>
      </c>
      <c r="X14" s="37">
        <f>X5*'Key Variables'!$C$59/100</f>
        <v>16.666666666666671</v>
      </c>
      <c r="Y14" s="37">
        <f>Y5*'Key Variables'!$C$59/100</f>
        <v>17.500000000000004</v>
      </c>
      <c r="Z14" s="37">
        <f>Z5*'Key Variables'!$C$59/100</f>
        <v>18.541666666666671</v>
      </c>
      <c r="AA14" s="37">
        <f>AA5*'Key Variables'!$C$59/100</f>
        <v>19.583333333333339</v>
      </c>
      <c r="AB14" s="37">
        <f>AB5*'Key Variables'!$C$59/100</f>
        <v>20.625000000000011</v>
      </c>
      <c r="AC14" s="37">
        <f>AC5*'Key Variables'!$C$59/100</f>
        <v>21.666666666666675</v>
      </c>
      <c r="AD14" s="37">
        <f>AD5*'Key Variables'!$C$59/100</f>
        <v>22.708333333333343</v>
      </c>
      <c r="AE14" s="37">
        <f>AE5*'Key Variables'!$C$59/100</f>
        <v>23.750000000000011</v>
      </c>
      <c r="AF14" s="37">
        <f>AF5*'Key Variables'!$C$59/100</f>
        <v>24.791666666666679</v>
      </c>
      <c r="AG14" s="37">
        <f>AG5*'Key Variables'!$C$59/100</f>
        <v>25.83333333333335</v>
      </c>
      <c r="AH14" s="37">
        <f>AH5*'Key Variables'!$C$59/100</f>
        <v>26.875000000000014</v>
      </c>
      <c r="AI14" s="37">
        <f>AI5*'Key Variables'!$C$59/100</f>
        <v>27.916666666666682</v>
      </c>
      <c r="AJ14" s="37">
        <f>AJ5*'Key Variables'!$C$59/100</f>
        <v>28.95833333333335</v>
      </c>
      <c r="AK14" s="37">
        <f>AK5*'Key Variables'!$C$59/100</f>
        <v>30.000000000000018</v>
      </c>
      <c r="AL14" s="37">
        <f>AL5*'Key Variables'!$C$59/100</f>
        <v>31.250000000000018</v>
      </c>
      <c r="AM14" s="37">
        <f>AM5*'Key Variables'!$C$59/100</f>
        <v>32.500000000000014</v>
      </c>
      <c r="AN14" s="37">
        <f>AN5*'Key Variables'!$C$59/100</f>
        <v>33.750000000000014</v>
      </c>
      <c r="AO14" s="37">
        <f>AO5*'Key Variables'!$C$59/100</f>
        <v>35.000000000000014</v>
      </c>
      <c r="AP14" s="37">
        <f>AP5*'Key Variables'!$C$59/100</f>
        <v>36.250000000000014</v>
      </c>
      <c r="AQ14" s="37">
        <f>AQ5*'Key Variables'!$C$59/100</f>
        <v>37.500000000000014</v>
      </c>
      <c r="AR14" s="37">
        <f>AR5*'Key Variables'!$C$59/100</f>
        <v>38.750000000000014</v>
      </c>
      <c r="AS14" s="37">
        <f>AS5*'Key Variables'!$C$59/100</f>
        <v>40.000000000000014</v>
      </c>
      <c r="AT14" s="37">
        <f>AT5*'Key Variables'!$C$59/100</f>
        <v>41.250000000000021</v>
      </c>
      <c r="AU14" s="37">
        <f>AU5*'Key Variables'!$C$59/100</f>
        <v>42.500000000000021</v>
      </c>
      <c r="AV14" s="37">
        <f>AV5*'Key Variables'!$C$59/100</f>
        <v>43.750000000000021</v>
      </c>
      <c r="AW14" s="37">
        <f>AW5*'Key Variables'!$C$59/100</f>
        <v>45.000000000000021</v>
      </c>
      <c r="AX14" s="58">
        <f t="shared" si="1"/>
        <v>0.50000000000000011</v>
      </c>
    </row>
    <row r="15" spans="1:50" hidden="1" x14ac:dyDescent="0.25">
      <c r="A15" s="10" t="s">
        <v>185</v>
      </c>
      <c r="B15" s="37">
        <f>B14</f>
        <v>0.625</v>
      </c>
      <c r="C15" s="37">
        <f>C14-B14</f>
        <v>0.625</v>
      </c>
      <c r="D15" s="37">
        <f t="shared" ref="D15:L15" si="2">D14-C14</f>
        <v>0.625</v>
      </c>
      <c r="E15" s="37">
        <f t="shared" si="2"/>
        <v>0.625</v>
      </c>
      <c r="F15" s="37">
        <f t="shared" si="2"/>
        <v>0.625</v>
      </c>
      <c r="G15" s="37">
        <f t="shared" si="2"/>
        <v>0.625</v>
      </c>
      <c r="H15" s="37">
        <f t="shared" si="2"/>
        <v>0.625</v>
      </c>
      <c r="I15" s="37">
        <f t="shared" si="2"/>
        <v>0.625</v>
      </c>
      <c r="J15" s="37">
        <f t="shared" si="2"/>
        <v>0.625</v>
      </c>
      <c r="K15" s="37">
        <f t="shared" si="2"/>
        <v>0.625</v>
      </c>
      <c r="L15" s="37">
        <f t="shared" si="2"/>
        <v>0.625</v>
      </c>
      <c r="M15" s="37">
        <f t="shared" ref="M15" si="3">M14-L14</f>
        <v>0.625</v>
      </c>
      <c r="N15" s="37">
        <f t="shared" ref="N15" si="4">N14-M14</f>
        <v>0.83333333333333393</v>
      </c>
      <c r="O15" s="37">
        <f t="shared" ref="O15" si="5">O14-N14</f>
        <v>0.83333333333333393</v>
      </c>
      <c r="P15" s="37">
        <f t="shared" ref="P15" si="6">P14-O14</f>
        <v>0.83333333333333393</v>
      </c>
      <c r="Q15" s="37">
        <f t="shared" ref="Q15" si="7">Q14-P14</f>
        <v>0.83333333333333393</v>
      </c>
      <c r="R15" s="37">
        <f t="shared" ref="R15" si="8">R14-Q14</f>
        <v>0.83333333333333393</v>
      </c>
      <c r="S15" s="37">
        <f t="shared" ref="S15" si="9">S14-R14</f>
        <v>0.8333333333333357</v>
      </c>
      <c r="T15" s="37">
        <f t="shared" ref="T15:U15" si="10">T14-S14</f>
        <v>0.83333333333333215</v>
      </c>
      <c r="U15" s="37">
        <f t="shared" si="10"/>
        <v>0.83333333333333393</v>
      </c>
      <c r="V15" s="37">
        <f t="shared" ref="V15" si="11">V14-U14</f>
        <v>0.83333333333333393</v>
      </c>
      <c r="W15" s="37">
        <f t="shared" ref="W15" si="12">W14-V14</f>
        <v>0.83333333333333393</v>
      </c>
      <c r="X15" s="37">
        <f t="shared" ref="X15" si="13">X14-W14</f>
        <v>0.83333333333333215</v>
      </c>
      <c r="Y15" s="37">
        <f t="shared" ref="Y15" si="14">Y14-X14</f>
        <v>0.83333333333333215</v>
      </c>
      <c r="Z15" s="37">
        <f t="shared" ref="Z15" si="15">Z14-Y14</f>
        <v>1.0416666666666679</v>
      </c>
      <c r="AA15" s="37">
        <f t="shared" ref="AA15" si="16">AA14-Z14</f>
        <v>1.0416666666666679</v>
      </c>
      <c r="AB15" s="37">
        <f t="shared" ref="AB15" si="17">AB14-AA14</f>
        <v>1.0416666666666714</v>
      </c>
      <c r="AC15" s="37">
        <f t="shared" ref="AC15:AD15" si="18">AC14-AB14</f>
        <v>1.0416666666666643</v>
      </c>
      <c r="AD15" s="37">
        <f t="shared" si="18"/>
        <v>1.0416666666666679</v>
      </c>
      <c r="AE15" s="37">
        <f t="shared" ref="AE15" si="19">AE14-AD14</f>
        <v>1.0416666666666679</v>
      </c>
      <c r="AF15" s="37">
        <f t="shared" ref="AF15" si="20">AF14-AE14</f>
        <v>1.0416666666666679</v>
      </c>
      <c r="AG15" s="37">
        <f t="shared" ref="AG15" si="21">AG14-AF14</f>
        <v>1.0416666666666714</v>
      </c>
      <c r="AH15" s="37">
        <f t="shared" ref="AH15" si="22">AH14-AG14</f>
        <v>1.0416666666666643</v>
      </c>
      <c r="AI15" s="37">
        <f t="shared" ref="AI15" si="23">AI14-AH14</f>
        <v>1.0416666666666679</v>
      </c>
      <c r="AJ15" s="37">
        <f t="shared" ref="AJ15" si="24">AJ14-AI14</f>
        <v>1.0416666666666679</v>
      </c>
      <c r="AK15" s="37">
        <f t="shared" ref="AK15" si="25">AK14-AJ14</f>
        <v>1.0416666666666679</v>
      </c>
      <c r="AL15" s="37">
        <f t="shared" ref="AL15:AM15" si="26">AL14-AK14</f>
        <v>1.25</v>
      </c>
      <c r="AM15" s="37">
        <f t="shared" si="26"/>
        <v>1.2499999999999964</v>
      </c>
      <c r="AN15" s="37">
        <f t="shared" ref="AN15" si="27">AN14-AM14</f>
        <v>1.25</v>
      </c>
      <c r="AO15" s="37">
        <f t="shared" ref="AO15" si="28">AO14-AN14</f>
        <v>1.25</v>
      </c>
      <c r="AP15" s="37">
        <f t="shared" ref="AP15" si="29">AP14-AO14</f>
        <v>1.25</v>
      </c>
      <c r="AQ15" s="37">
        <f t="shared" ref="AQ15" si="30">AQ14-AP14</f>
        <v>1.25</v>
      </c>
      <c r="AR15" s="37">
        <f t="shared" ref="AR15" si="31">AR14-AQ14</f>
        <v>1.25</v>
      </c>
      <c r="AS15" s="37">
        <f t="shared" ref="AS15" si="32">AS14-AR14</f>
        <v>1.25</v>
      </c>
      <c r="AT15" s="37">
        <f t="shared" ref="AT15" si="33">AT14-AS14</f>
        <v>1.2500000000000071</v>
      </c>
      <c r="AU15" s="37">
        <f t="shared" ref="AU15:AV15" si="34">AU14-AT14</f>
        <v>1.25</v>
      </c>
      <c r="AV15" s="37">
        <f t="shared" si="34"/>
        <v>1.25</v>
      </c>
      <c r="AW15" s="37">
        <f t="shared" ref="AW15" si="35">AW14-AV14</f>
        <v>1.25</v>
      </c>
      <c r="AX15" s="58"/>
    </row>
    <row r="16" spans="1:50" hidden="1" x14ac:dyDescent="0.25">
      <c r="A16" s="1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50" hidden="1" x14ac:dyDescent="0.25">
      <c r="A17" s="10" t="s">
        <v>109</v>
      </c>
      <c r="B17" s="40">
        <f t="shared" ref="B17:AW17" si="36">B5</f>
        <v>1.25</v>
      </c>
      <c r="C17" s="40">
        <f t="shared" si="36"/>
        <v>2.5</v>
      </c>
      <c r="D17" s="40">
        <f t="shared" si="36"/>
        <v>3.75</v>
      </c>
      <c r="E17" s="40">
        <f t="shared" si="36"/>
        <v>5</v>
      </c>
      <c r="F17" s="40">
        <f t="shared" si="36"/>
        <v>6.25</v>
      </c>
      <c r="G17" s="40">
        <f t="shared" si="36"/>
        <v>7.5</v>
      </c>
      <c r="H17" s="40">
        <f t="shared" si="36"/>
        <v>8.75</v>
      </c>
      <c r="I17" s="40">
        <f t="shared" si="36"/>
        <v>10</v>
      </c>
      <c r="J17" s="40">
        <f t="shared" si="36"/>
        <v>11.25</v>
      </c>
      <c r="K17" s="40">
        <f t="shared" si="36"/>
        <v>12.5</v>
      </c>
      <c r="L17" s="40">
        <f t="shared" si="36"/>
        <v>13.75</v>
      </c>
      <c r="M17" s="40">
        <f t="shared" si="36"/>
        <v>15</v>
      </c>
      <c r="N17" s="40">
        <f t="shared" si="36"/>
        <v>16.666666666666668</v>
      </c>
      <c r="O17" s="40">
        <f t="shared" si="36"/>
        <v>18.333333333333336</v>
      </c>
      <c r="P17" s="40">
        <f t="shared" si="36"/>
        <v>20.000000000000004</v>
      </c>
      <c r="Q17" s="40">
        <f t="shared" si="36"/>
        <v>21.666666666666671</v>
      </c>
      <c r="R17" s="40">
        <f t="shared" si="36"/>
        <v>23.333333333333339</v>
      </c>
      <c r="S17" s="40">
        <f t="shared" si="36"/>
        <v>25.000000000000007</v>
      </c>
      <c r="T17" s="40">
        <f t="shared" si="36"/>
        <v>26.666666666666675</v>
      </c>
      <c r="U17" s="40">
        <f t="shared" si="36"/>
        <v>28.333333333333343</v>
      </c>
      <c r="V17" s="40">
        <f t="shared" si="36"/>
        <v>30.000000000000011</v>
      </c>
      <c r="W17" s="40">
        <f t="shared" si="36"/>
        <v>31.666666666666679</v>
      </c>
      <c r="X17" s="40">
        <f t="shared" si="36"/>
        <v>33.333333333333343</v>
      </c>
      <c r="Y17" s="40">
        <f t="shared" si="36"/>
        <v>35.000000000000007</v>
      </c>
      <c r="Z17" s="40">
        <f t="shared" si="36"/>
        <v>37.083333333333343</v>
      </c>
      <c r="AA17" s="40">
        <f t="shared" si="36"/>
        <v>39.166666666666679</v>
      </c>
      <c r="AB17" s="40">
        <f t="shared" si="36"/>
        <v>41.250000000000014</v>
      </c>
      <c r="AC17" s="40">
        <f t="shared" si="36"/>
        <v>43.33333333333335</v>
      </c>
      <c r="AD17" s="40">
        <f t="shared" si="36"/>
        <v>45.416666666666686</v>
      </c>
      <c r="AE17" s="40">
        <f t="shared" si="36"/>
        <v>47.500000000000021</v>
      </c>
      <c r="AF17" s="40">
        <f t="shared" si="36"/>
        <v>49.583333333333357</v>
      </c>
      <c r="AG17" s="40">
        <f t="shared" si="36"/>
        <v>51.666666666666693</v>
      </c>
      <c r="AH17" s="40">
        <f t="shared" si="36"/>
        <v>53.750000000000028</v>
      </c>
      <c r="AI17" s="40">
        <f t="shared" si="36"/>
        <v>55.833333333333364</v>
      </c>
      <c r="AJ17" s="40">
        <f t="shared" si="36"/>
        <v>57.9166666666667</v>
      </c>
      <c r="AK17" s="40">
        <f t="shared" si="36"/>
        <v>60.000000000000036</v>
      </c>
      <c r="AL17" s="40">
        <f t="shared" si="36"/>
        <v>62.500000000000036</v>
      </c>
      <c r="AM17" s="40">
        <f t="shared" si="36"/>
        <v>65.000000000000028</v>
      </c>
      <c r="AN17" s="40">
        <f t="shared" si="36"/>
        <v>67.500000000000028</v>
      </c>
      <c r="AO17" s="40">
        <f t="shared" si="36"/>
        <v>70.000000000000028</v>
      </c>
      <c r="AP17" s="40">
        <f t="shared" si="36"/>
        <v>72.500000000000028</v>
      </c>
      <c r="AQ17" s="40">
        <f t="shared" si="36"/>
        <v>75.000000000000028</v>
      </c>
      <c r="AR17" s="40">
        <f t="shared" si="36"/>
        <v>77.500000000000028</v>
      </c>
      <c r="AS17" s="40">
        <f t="shared" si="36"/>
        <v>80.000000000000028</v>
      </c>
      <c r="AT17" s="40">
        <f t="shared" si="36"/>
        <v>82.500000000000028</v>
      </c>
      <c r="AU17" s="40">
        <f t="shared" si="36"/>
        <v>85.000000000000028</v>
      </c>
      <c r="AV17" s="40">
        <f t="shared" si="36"/>
        <v>87.500000000000028</v>
      </c>
      <c r="AW17" s="40">
        <f t="shared" si="36"/>
        <v>90.000000000000028</v>
      </c>
    </row>
    <row r="18" spans="1:50" hidden="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row>
    <row r="19" spans="1:50" hidden="1" x14ac:dyDescent="0.25">
      <c r="A19" s="10" t="s">
        <v>122</v>
      </c>
      <c r="B19" s="52">
        <f>(B9*'Key Variables'!$C$7)</f>
        <v>9.375</v>
      </c>
      <c r="C19" s="57">
        <f>(C9*'Key Variables'!$C$7)</f>
        <v>18.75</v>
      </c>
      <c r="D19" s="57">
        <f>(D9*'Key Variables'!$C$7)</f>
        <v>28.125</v>
      </c>
      <c r="E19" s="27">
        <f>(E9*'Key Variables'!$C$7)</f>
        <v>37.5</v>
      </c>
      <c r="F19" s="27">
        <f>(F9*'Key Variables'!$C$7)</f>
        <v>46.875</v>
      </c>
      <c r="G19" s="27">
        <f>(G9*'Key Variables'!$C$7)</f>
        <v>56.25</v>
      </c>
      <c r="H19" s="27">
        <f>(H9*'Key Variables'!$C$7)</f>
        <v>65.625</v>
      </c>
      <c r="I19" s="27">
        <f>(I9*'Key Variables'!$C$7)</f>
        <v>75</v>
      </c>
      <c r="J19" s="27">
        <f>(J9*'Key Variables'!$C$7)</f>
        <v>84.375</v>
      </c>
      <c r="K19" s="27">
        <f>(K9*'Key Variables'!$C$7)</f>
        <v>93.75</v>
      </c>
      <c r="L19" s="27">
        <f>(L9*'Key Variables'!$C$7)</f>
        <v>103.125</v>
      </c>
      <c r="M19" s="27">
        <f>(M9*'Key Variables'!$C$7)</f>
        <v>112.5</v>
      </c>
      <c r="N19" s="27">
        <f>(N9*'Key Variables'!$C$7)</f>
        <v>125.00000000000003</v>
      </c>
      <c r="O19" s="27">
        <f>(O9*'Key Variables'!$C$7)</f>
        <v>137.50000000000003</v>
      </c>
      <c r="P19" s="27">
        <f>(P9*'Key Variables'!$C$7)</f>
        <v>150.00000000000003</v>
      </c>
      <c r="Q19" s="27">
        <f>(Q9*'Key Variables'!$C$7)</f>
        <v>162.50000000000003</v>
      </c>
      <c r="R19" s="27">
        <f>(R9*'Key Variables'!$C$7)</f>
        <v>175.00000000000006</v>
      </c>
      <c r="S19" s="27">
        <f>(S9*'Key Variables'!$C$7)</f>
        <v>187.50000000000006</v>
      </c>
      <c r="T19" s="27">
        <f>(T9*'Key Variables'!$C$7)</f>
        <v>200.00000000000006</v>
      </c>
      <c r="U19" s="27">
        <f>(U9*'Key Variables'!$C$7)</f>
        <v>212.50000000000006</v>
      </c>
      <c r="V19" s="27">
        <f>(V9*'Key Variables'!$C$7)</f>
        <v>225.00000000000009</v>
      </c>
      <c r="W19" s="27">
        <f>(W9*'Key Variables'!$C$7)</f>
        <v>237.50000000000009</v>
      </c>
      <c r="X19" s="27">
        <f>(X9*'Key Variables'!$C$7)</f>
        <v>250.00000000000006</v>
      </c>
      <c r="Y19" s="27">
        <f>(Y9*'Key Variables'!$C$7)</f>
        <v>262.50000000000006</v>
      </c>
      <c r="Z19" s="27">
        <f>(Z9*'Key Variables'!$C$7)</f>
        <v>278.12500000000006</v>
      </c>
      <c r="AA19" s="27">
        <f>(AA9*'Key Variables'!$C$7)</f>
        <v>293.75000000000011</v>
      </c>
      <c r="AB19" s="27">
        <f>(AB9*'Key Variables'!$C$7)</f>
        <v>309.37500000000011</v>
      </c>
      <c r="AC19" s="27">
        <f>(AC9*'Key Variables'!$C$7)</f>
        <v>325.00000000000011</v>
      </c>
      <c r="AD19" s="27">
        <f>(AD9*'Key Variables'!$C$7)</f>
        <v>340.62500000000011</v>
      </c>
      <c r="AE19" s="27">
        <f>(AE9*'Key Variables'!$C$7)</f>
        <v>356.25000000000017</v>
      </c>
      <c r="AF19" s="27">
        <f>(AF9*'Key Variables'!$C$7)</f>
        <v>371.87500000000017</v>
      </c>
      <c r="AG19" s="27">
        <f>(AG9*'Key Variables'!$C$7)</f>
        <v>387.50000000000017</v>
      </c>
      <c r="AH19" s="27">
        <f>(AH9*'Key Variables'!$C$7)</f>
        <v>403.12500000000028</v>
      </c>
      <c r="AI19" s="27">
        <f>(AI9*'Key Variables'!$C$7)</f>
        <v>418.75000000000028</v>
      </c>
      <c r="AJ19" s="27">
        <f>(AJ9*'Key Variables'!$C$7)</f>
        <v>434.37500000000028</v>
      </c>
      <c r="AK19" s="27">
        <f>(AK9*'Key Variables'!$C$7)</f>
        <v>450.00000000000028</v>
      </c>
      <c r="AL19" s="27">
        <f>(AL9*'Key Variables'!$C$7)</f>
        <v>468.75000000000028</v>
      </c>
      <c r="AM19" s="27">
        <f>(AM9*'Key Variables'!$C$7)</f>
        <v>487.50000000000028</v>
      </c>
      <c r="AN19" s="27">
        <f>(AN9*'Key Variables'!$C$7)</f>
        <v>506.25000000000028</v>
      </c>
      <c r="AO19" s="27">
        <f>(AO9*'Key Variables'!$C$7)</f>
        <v>525.00000000000023</v>
      </c>
      <c r="AP19" s="27">
        <f>(AP9*'Key Variables'!$C$7)</f>
        <v>543.75000000000023</v>
      </c>
      <c r="AQ19" s="27">
        <f>(AQ9*'Key Variables'!$C$7)</f>
        <v>562.50000000000023</v>
      </c>
      <c r="AR19" s="27">
        <f>(AR9*'Key Variables'!$C$7)</f>
        <v>581.25000000000023</v>
      </c>
      <c r="AS19" s="27">
        <f>(AS9*'Key Variables'!$C$7)</f>
        <v>600.00000000000023</v>
      </c>
      <c r="AT19" s="27">
        <f>(AT9*'Key Variables'!$C$7)</f>
        <v>618.75000000000023</v>
      </c>
      <c r="AU19" s="27">
        <f>(AU9*'Key Variables'!$C$7)</f>
        <v>637.50000000000023</v>
      </c>
      <c r="AV19" s="27">
        <f>(AV9*'Key Variables'!$C$7)</f>
        <v>656.25000000000023</v>
      </c>
      <c r="AW19" s="27">
        <f>(AW9*'Key Variables'!$C$7)</f>
        <v>675.00000000000023</v>
      </c>
      <c r="AX19" s="58">
        <f>AW19/$AW$7</f>
        <v>0.15</v>
      </c>
    </row>
    <row r="20" spans="1:50" hidden="1" x14ac:dyDescent="0.25">
      <c r="A20" s="10" t="s">
        <v>123</v>
      </c>
      <c r="B20" s="52">
        <f>(B10*'Key Variables'!$C$7)</f>
        <v>31.25</v>
      </c>
      <c r="C20" s="52">
        <f>(C10*'Key Variables'!$C$7)</f>
        <v>62.5</v>
      </c>
      <c r="D20" s="52">
        <f>(D10*'Key Variables'!$C$7)</f>
        <v>93.75</v>
      </c>
      <c r="E20" s="52">
        <f>(E10*'Key Variables'!$C$7)</f>
        <v>125</v>
      </c>
      <c r="F20" s="52">
        <f>(F10*'Key Variables'!$C$7)</f>
        <v>156.25</v>
      </c>
      <c r="G20" s="52">
        <f>(G10*'Key Variables'!$C$7)</f>
        <v>187.5</v>
      </c>
      <c r="H20" s="52">
        <f>(H10*'Key Variables'!$C$7)</f>
        <v>218.75</v>
      </c>
      <c r="I20" s="52">
        <f>(I10*'Key Variables'!$C$7)</f>
        <v>250</v>
      </c>
      <c r="J20" s="52">
        <f>(J10*'Key Variables'!$C$7)</f>
        <v>281.25</v>
      </c>
      <c r="K20" s="52">
        <f>(K10*'Key Variables'!$C$7)</f>
        <v>312.5</v>
      </c>
      <c r="L20" s="52">
        <f>(L10*'Key Variables'!$C$7)</f>
        <v>343.75</v>
      </c>
      <c r="M20" s="52">
        <f>(M10*'Key Variables'!$C$7)</f>
        <v>375</v>
      </c>
      <c r="N20" s="52">
        <f>(N10*'Key Variables'!$C$7)</f>
        <v>416.66666666666669</v>
      </c>
      <c r="O20" s="52">
        <f>(O10*'Key Variables'!$C$7)</f>
        <v>458.33333333333337</v>
      </c>
      <c r="P20" s="52">
        <f>(P10*'Key Variables'!$C$7)</f>
        <v>500.00000000000011</v>
      </c>
      <c r="Q20" s="52">
        <f>(Q10*'Key Variables'!$C$7)</f>
        <v>541.66666666666674</v>
      </c>
      <c r="R20" s="52">
        <f>(R10*'Key Variables'!$C$7)</f>
        <v>583.33333333333348</v>
      </c>
      <c r="S20" s="52">
        <f>(S10*'Key Variables'!$C$7)</f>
        <v>625.00000000000023</v>
      </c>
      <c r="T20" s="52">
        <f>(T10*'Key Variables'!$C$7)</f>
        <v>666.66666666666686</v>
      </c>
      <c r="U20" s="52">
        <f>(U10*'Key Variables'!$C$7)</f>
        <v>708.3333333333336</v>
      </c>
      <c r="V20" s="52">
        <f>(V10*'Key Variables'!$C$7)</f>
        <v>750.00000000000023</v>
      </c>
      <c r="W20" s="52">
        <f>(W10*'Key Variables'!$C$7)</f>
        <v>791.66666666666697</v>
      </c>
      <c r="X20" s="52">
        <f>(X10*'Key Variables'!$C$7)</f>
        <v>833.3333333333336</v>
      </c>
      <c r="Y20" s="52">
        <f>(Y10*'Key Variables'!$C$7)</f>
        <v>875.00000000000023</v>
      </c>
      <c r="Z20" s="52">
        <f>(Z10*'Key Variables'!$C$7)</f>
        <v>927.0833333333336</v>
      </c>
      <c r="AA20" s="52">
        <f>(AA10*'Key Variables'!$C$7)</f>
        <v>979.16666666666697</v>
      </c>
      <c r="AB20" s="52">
        <f>(AB10*'Key Variables'!$C$7)</f>
        <v>1031.2500000000005</v>
      </c>
      <c r="AC20" s="52">
        <f>(AC10*'Key Variables'!$C$7)</f>
        <v>1083.3333333333337</v>
      </c>
      <c r="AD20" s="52">
        <f>(AD10*'Key Variables'!$C$7)</f>
        <v>1135.4166666666672</v>
      </c>
      <c r="AE20" s="52">
        <f>(AE10*'Key Variables'!$C$7)</f>
        <v>1187.5000000000005</v>
      </c>
      <c r="AF20" s="52">
        <f>(AF10*'Key Variables'!$C$7)</f>
        <v>1239.5833333333339</v>
      </c>
      <c r="AG20" s="52">
        <f>(AG10*'Key Variables'!$C$7)</f>
        <v>1291.6666666666674</v>
      </c>
      <c r="AH20" s="52">
        <f>(AH10*'Key Variables'!$C$7)</f>
        <v>1343.7500000000007</v>
      </c>
      <c r="AI20" s="52">
        <f>(AI10*'Key Variables'!$C$7)</f>
        <v>1395.8333333333342</v>
      </c>
      <c r="AJ20" s="52">
        <f>(AJ10*'Key Variables'!$C$7)</f>
        <v>1447.9166666666674</v>
      </c>
      <c r="AK20" s="52">
        <f>(AK10*'Key Variables'!$C$7)</f>
        <v>1500.0000000000009</v>
      </c>
      <c r="AL20" s="52">
        <f>(AL10*'Key Variables'!$C$7)</f>
        <v>1562.5000000000009</v>
      </c>
      <c r="AM20" s="52">
        <f>(AM10*'Key Variables'!$C$7)</f>
        <v>1625.0000000000007</v>
      </c>
      <c r="AN20" s="52">
        <f>(AN10*'Key Variables'!$C$7)</f>
        <v>1687.5000000000007</v>
      </c>
      <c r="AO20" s="52">
        <f>(AO10*'Key Variables'!$C$7)</f>
        <v>1750.0000000000007</v>
      </c>
      <c r="AP20" s="52">
        <f>(AP10*'Key Variables'!$C$7)</f>
        <v>1812.5000000000007</v>
      </c>
      <c r="AQ20" s="52">
        <f>(AQ10*'Key Variables'!$C$7)</f>
        <v>1875.0000000000007</v>
      </c>
      <c r="AR20" s="52">
        <f>(AR10*'Key Variables'!$C$7)</f>
        <v>1937.5000000000007</v>
      </c>
      <c r="AS20" s="52">
        <f>(AS10*'Key Variables'!$C$7)</f>
        <v>2000.0000000000007</v>
      </c>
      <c r="AT20" s="52">
        <f>(AT10*'Key Variables'!$C$7)</f>
        <v>2062.5000000000009</v>
      </c>
      <c r="AU20" s="52">
        <f>(AU10*'Key Variables'!$C$7)</f>
        <v>2125.0000000000009</v>
      </c>
      <c r="AV20" s="52">
        <f>(AV10*'Key Variables'!$C$7)</f>
        <v>2187.5000000000009</v>
      </c>
      <c r="AW20" s="59">
        <f>(AW10*'Key Variables'!$C$7)</f>
        <v>2250.0000000000009</v>
      </c>
      <c r="AX20" s="58">
        <f>AW20/$AW$7</f>
        <v>0.5</v>
      </c>
    </row>
    <row r="21" spans="1:50" hidden="1" x14ac:dyDescent="0.25">
      <c r="A21" s="10" t="s">
        <v>238</v>
      </c>
      <c r="B21" s="52">
        <f>(B11*'Key Variables'!$C$11)</f>
        <v>9.375</v>
      </c>
      <c r="C21" s="52">
        <f>(C11*'Key Variables'!$C$11)</f>
        <v>18.75</v>
      </c>
      <c r="D21" s="52">
        <f>(D11*'Key Variables'!$C$11)</f>
        <v>28.125</v>
      </c>
      <c r="E21" s="52">
        <f>(E11*'Key Variables'!$C$11)</f>
        <v>37.5</v>
      </c>
      <c r="F21" s="52">
        <f>(F11*'Key Variables'!$C$11)</f>
        <v>46.875</v>
      </c>
      <c r="G21" s="52">
        <f>(G11*'Key Variables'!$C$11)</f>
        <v>56.25</v>
      </c>
      <c r="H21" s="52">
        <f>(H11*'Key Variables'!$C$11)</f>
        <v>65.625</v>
      </c>
      <c r="I21" s="52">
        <f>(I11*'Key Variables'!$C$11)</f>
        <v>75</v>
      </c>
      <c r="J21" s="52">
        <f>(J11*'Key Variables'!$C$11)</f>
        <v>84.375</v>
      </c>
      <c r="K21" s="52">
        <f>(K11*'Key Variables'!$C$11)</f>
        <v>93.75</v>
      </c>
      <c r="L21" s="52">
        <f>(L11*'Key Variables'!$C$11)</f>
        <v>103.125</v>
      </c>
      <c r="M21" s="52">
        <f>(M11*'Key Variables'!$C$11)</f>
        <v>112.5</v>
      </c>
      <c r="N21" s="52">
        <f>(N11*'Key Variables'!$C$11)</f>
        <v>125.00000000000001</v>
      </c>
      <c r="O21" s="52">
        <f>(O11*'Key Variables'!$C$11)</f>
        <v>137.50000000000003</v>
      </c>
      <c r="P21" s="52">
        <f>(P11*'Key Variables'!$C$11)</f>
        <v>150.00000000000003</v>
      </c>
      <c r="Q21" s="52">
        <f>(Q11*'Key Variables'!$C$11)</f>
        <v>162.50000000000003</v>
      </c>
      <c r="R21" s="52">
        <f>(R11*'Key Variables'!$C$11)</f>
        <v>175.00000000000006</v>
      </c>
      <c r="S21" s="52">
        <f>(S11*'Key Variables'!$C$11)</f>
        <v>187.50000000000009</v>
      </c>
      <c r="T21" s="52">
        <f>(T11*'Key Variables'!$C$11)</f>
        <v>200.00000000000006</v>
      </c>
      <c r="U21" s="52">
        <f>(U11*'Key Variables'!$C$11)</f>
        <v>212.50000000000006</v>
      </c>
      <c r="V21" s="52">
        <f>(V11*'Key Variables'!$C$11)</f>
        <v>225.00000000000009</v>
      </c>
      <c r="W21" s="52">
        <f>(W11*'Key Variables'!$C$11)</f>
        <v>237.50000000000009</v>
      </c>
      <c r="X21" s="52">
        <f>(X11*'Key Variables'!$C$11)</f>
        <v>250.00000000000006</v>
      </c>
      <c r="Y21" s="52">
        <f>(Y11*'Key Variables'!$C$11)</f>
        <v>262.50000000000006</v>
      </c>
      <c r="Z21" s="52">
        <f>(Z11*'Key Variables'!$C$11)</f>
        <v>278.12500000000006</v>
      </c>
      <c r="AA21" s="52">
        <f>(AA11*'Key Variables'!$C$11)</f>
        <v>293.75000000000011</v>
      </c>
      <c r="AB21" s="52">
        <f>(AB11*'Key Variables'!$C$11)</f>
        <v>309.37500000000017</v>
      </c>
      <c r="AC21" s="52">
        <f>(AC11*'Key Variables'!$C$11)</f>
        <v>325.00000000000011</v>
      </c>
      <c r="AD21" s="52">
        <f>(AD11*'Key Variables'!$C$11)</f>
        <v>340.62500000000011</v>
      </c>
      <c r="AE21" s="52">
        <f>(AE11*'Key Variables'!$C$11)</f>
        <v>356.25000000000017</v>
      </c>
      <c r="AF21" s="52">
        <f>(AF11*'Key Variables'!$C$11)</f>
        <v>371.87500000000017</v>
      </c>
      <c r="AG21" s="52">
        <f>(AG11*'Key Variables'!$C$11)</f>
        <v>387.50000000000023</v>
      </c>
      <c r="AH21" s="52">
        <f>(AH11*'Key Variables'!$C$11)</f>
        <v>403.12500000000023</v>
      </c>
      <c r="AI21" s="52">
        <f>(AI11*'Key Variables'!$C$11)</f>
        <v>418.75000000000023</v>
      </c>
      <c r="AJ21" s="52">
        <f>(AJ11*'Key Variables'!$C$11)</f>
        <v>434.37500000000023</v>
      </c>
      <c r="AK21" s="52">
        <f>(AK11*'Key Variables'!$C$11)</f>
        <v>450.00000000000028</v>
      </c>
      <c r="AL21" s="52">
        <f>(AL11*'Key Variables'!$C$11)</f>
        <v>468.75000000000028</v>
      </c>
      <c r="AM21" s="52">
        <f>(AM11*'Key Variables'!$C$11)</f>
        <v>487.50000000000023</v>
      </c>
      <c r="AN21" s="52">
        <f>(AN11*'Key Variables'!$C$11)</f>
        <v>506.25000000000023</v>
      </c>
      <c r="AO21" s="52">
        <f>(AO11*'Key Variables'!$C$11)</f>
        <v>525.00000000000023</v>
      </c>
      <c r="AP21" s="52">
        <f>(AP11*'Key Variables'!$C$11)</f>
        <v>543.75000000000023</v>
      </c>
      <c r="AQ21" s="52">
        <f>(AQ11*'Key Variables'!$C$11)</f>
        <v>562.50000000000023</v>
      </c>
      <c r="AR21" s="52">
        <f>(AR11*'Key Variables'!$C$11)</f>
        <v>581.25000000000023</v>
      </c>
      <c r="AS21" s="52">
        <f>(AS11*'Key Variables'!$C$11)</f>
        <v>600.00000000000023</v>
      </c>
      <c r="AT21" s="52">
        <f>(AT11*'Key Variables'!$C$11)</f>
        <v>618.75000000000034</v>
      </c>
      <c r="AU21" s="52">
        <f>(AU11*'Key Variables'!$C$11)</f>
        <v>637.50000000000034</v>
      </c>
      <c r="AV21" s="52">
        <f>(AV11*'Key Variables'!$C$11)</f>
        <v>656.25000000000034</v>
      </c>
      <c r="AW21" s="52">
        <f>(AW11*'Key Variables'!$C$11)</f>
        <v>675.00000000000034</v>
      </c>
      <c r="AX21" s="58">
        <f t="shared" ref="AX21:AX24" si="37">AW21/$AW$7</f>
        <v>0.15000000000000002</v>
      </c>
    </row>
    <row r="22" spans="1:50" hidden="1" x14ac:dyDescent="0.25">
      <c r="A22" s="10" t="s">
        <v>124</v>
      </c>
      <c r="B22" s="52">
        <f>(B12*'Key Variables'!$C$7)</f>
        <v>31.25</v>
      </c>
      <c r="C22" s="52">
        <f>(C12*'Key Variables'!$C$7)</f>
        <v>62.5</v>
      </c>
      <c r="D22" s="52">
        <f>(D12*'Key Variables'!$C$7)</f>
        <v>93.75</v>
      </c>
      <c r="E22" s="52">
        <f>(E12*'Key Variables'!$C$7)</f>
        <v>125</v>
      </c>
      <c r="F22" s="52">
        <f>(F12*'Key Variables'!$C$7)</f>
        <v>156.25</v>
      </c>
      <c r="G22" s="52">
        <f>(G12*'Key Variables'!$C$7)</f>
        <v>187.5</v>
      </c>
      <c r="H22" s="52">
        <f>(H12*'Key Variables'!$C$7)</f>
        <v>218.75</v>
      </c>
      <c r="I22" s="52">
        <f>(I12*'Key Variables'!$C$7)</f>
        <v>250</v>
      </c>
      <c r="J22" s="52">
        <f>(J12*'Key Variables'!$C$7)</f>
        <v>281.25</v>
      </c>
      <c r="K22" s="52">
        <f>(K12*'Key Variables'!$C$7)</f>
        <v>312.5</v>
      </c>
      <c r="L22" s="52">
        <f>(L12*'Key Variables'!$C$7)</f>
        <v>343.75</v>
      </c>
      <c r="M22" s="52">
        <f>(M12*'Key Variables'!$C$7)</f>
        <v>375</v>
      </c>
      <c r="N22" s="52">
        <f>(N12*'Key Variables'!$C$7)</f>
        <v>416.66666666666669</v>
      </c>
      <c r="O22" s="52">
        <f>(O12*'Key Variables'!$C$7)</f>
        <v>458.33333333333337</v>
      </c>
      <c r="P22" s="52">
        <f>(P12*'Key Variables'!$C$7)</f>
        <v>500.00000000000011</v>
      </c>
      <c r="Q22" s="52">
        <f>(Q12*'Key Variables'!$C$7)</f>
        <v>541.66666666666674</v>
      </c>
      <c r="R22" s="52">
        <f>(R12*'Key Variables'!$C$7)</f>
        <v>583.33333333333348</v>
      </c>
      <c r="S22" s="52">
        <f>(S12*'Key Variables'!$C$7)</f>
        <v>625.00000000000023</v>
      </c>
      <c r="T22" s="52">
        <f>(T12*'Key Variables'!$C$7)</f>
        <v>666.66666666666686</v>
      </c>
      <c r="U22" s="52">
        <f>(U12*'Key Variables'!$C$7)</f>
        <v>708.3333333333336</v>
      </c>
      <c r="V22" s="52">
        <f>(V12*'Key Variables'!$C$7)</f>
        <v>750.00000000000023</v>
      </c>
      <c r="W22" s="52">
        <f>(W12*'Key Variables'!$C$7)</f>
        <v>791.66666666666697</v>
      </c>
      <c r="X22" s="52">
        <f>(X12*'Key Variables'!$C$7)</f>
        <v>833.3333333333336</v>
      </c>
      <c r="Y22" s="52">
        <f>(Y12*'Key Variables'!$C$7)</f>
        <v>875.00000000000023</v>
      </c>
      <c r="Z22" s="52">
        <f>(Z12*'Key Variables'!$C$7)</f>
        <v>927.0833333333336</v>
      </c>
      <c r="AA22" s="52">
        <f>(AA12*'Key Variables'!$C$7)</f>
        <v>979.16666666666697</v>
      </c>
      <c r="AB22" s="52">
        <f>(AB12*'Key Variables'!$C$7)</f>
        <v>1031.2500000000005</v>
      </c>
      <c r="AC22" s="52">
        <f>(AC12*'Key Variables'!$C$7)</f>
        <v>1083.3333333333337</v>
      </c>
      <c r="AD22" s="52">
        <f>(AD12*'Key Variables'!$C$7)</f>
        <v>1135.4166666666672</v>
      </c>
      <c r="AE22" s="52">
        <f>(AE12*'Key Variables'!$C$7)</f>
        <v>1187.5000000000005</v>
      </c>
      <c r="AF22" s="52">
        <f>(AF12*'Key Variables'!$C$7)</f>
        <v>1239.5833333333339</v>
      </c>
      <c r="AG22" s="52">
        <f>(AG12*'Key Variables'!$C$7)</f>
        <v>1291.6666666666674</v>
      </c>
      <c r="AH22" s="52">
        <f>(AH12*'Key Variables'!$C$7)</f>
        <v>1343.7500000000007</v>
      </c>
      <c r="AI22" s="52">
        <f>(AI12*'Key Variables'!$C$7)</f>
        <v>1395.8333333333342</v>
      </c>
      <c r="AJ22" s="52">
        <f>(AJ12*'Key Variables'!$C$7)</f>
        <v>1447.9166666666674</v>
      </c>
      <c r="AK22" s="52">
        <f>(AK12*'Key Variables'!$C$7)</f>
        <v>1500.0000000000009</v>
      </c>
      <c r="AL22" s="52">
        <f>(AL12*'Key Variables'!$C$7)</f>
        <v>1562.5000000000009</v>
      </c>
      <c r="AM22" s="52">
        <f>(AM12*'Key Variables'!$C$7)</f>
        <v>1625.0000000000007</v>
      </c>
      <c r="AN22" s="52">
        <f>(AN12*'Key Variables'!$C$7)</f>
        <v>1687.5000000000007</v>
      </c>
      <c r="AO22" s="52">
        <f>(AO12*'Key Variables'!$C$7)</f>
        <v>1750.0000000000007</v>
      </c>
      <c r="AP22" s="52">
        <f>(AP12*'Key Variables'!$C$7)</f>
        <v>1812.5000000000007</v>
      </c>
      <c r="AQ22" s="52">
        <f>(AQ12*'Key Variables'!$C$7)</f>
        <v>1875.0000000000007</v>
      </c>
      <c r="AR22" s="52">
        <f>(AR12*'Key Variables'!$C$7)</f>
        <v>1937.5000000000007</v>
      </c>
      <c r="AS22" s="52">
        <f>(AS12*'Key Variables'!$C$7)</f>
        <v>2000.0000000000007</v>
      </c>
      <c r="AT22" s="52">
        <f>(AT12*'Key Variables'!$C$7)</f>
        <v>2062.5000000000009</v>
      </c>
      <c r="AU22" s="52">
        <f>(AU12*'Key Variables'!$C$7)</f>
        <v>2125.0000000000009</v>
      </c>
      <c r="AV22" s="52">
        <f>(AV12*'Key Variables'!$C$7)</f>
        <v>2187.5000000000009</v>
      </c>
      <c r="AW22" s="52">
        <f>(AW12*'Key Variables'!$C$7)</f>
        <v>2250.0000000000009</v>
      </c>
      <c r="AX22" s="58">
        <f t="shared" si="37"/>
        <v>0.5</v>
      </c>
    </row>
    <row r="23" spans="1:50" hidden="1" x14ac:dyDescent="0.25">
      <c r="A23" s="10" t="s">
        <v>144</v>
      </c>
      <c r="B23" s="52">
        <f>B13*'Key Variables'!$C$7</f>
        <v>62.5</v>
      </c>
      <c r="C23" s="52">
        <f>C13*'Key Variables'!$C$7</f>
        <v>125</v>
      </c>
      <c r="D23" s="52">
        <f>D13*'Key Variables'!$C$7</f>
        <v>187.5</v>
      </c>
      <c r="E23" s="52">
        <f>E13*'Key Variables'!$C$7</f>
        <v>250</v>
      </c>
      <c r="F23" s="52">
        <f>F13*'Key Variables'!$C$7</f>
        <v>312.5</v>
      </c>
      <c r="G23" s="52">
        <f>G13*'Key Variables'!$C$7</f>
        <v>375</v>
      </c>
      <c r="H23" s="52">
        <f>H13*'Key Variables'!$C$7</f>
        <v>437.5</v>
      </c>
      <c r="I23" s="52">
        <f>I13*'Key Variables'!$C$7</f>
        <v>500</v>
      </c>
      <c r="J23" s="52">
        <f>J13*'Key Variables'!$C$7</f>
        <v>562.5</v>
      </c>
      <c r="K23" s="52">
        <f>K13*'Key Variables'!$C$7</f>
        <v>625</v>
      </c>
      <c r="L23" s="52">
        <f>L13*'Key Variables'!$C$7</f>
        <v>687.5</v>
      </c>
      <c r="M23" s="52">
        <f>M13*'Key Variables'!$C$7</f>
        <v>750</v>
      </c>
      <c r="N23" s="52">
        <f>N13*'Key Variables'!$C$7</f>
        <v>833.33333333333337</v>
      </c>
      <c r="O23" s="52">
        <f>O13*'Key Variables'!$C$7</f>
        <v>916.66666666666674</v>
      </c>
      <c r="P23" s="52">
        <f>P13*'Key Variables'!$C$7</f>
        <v>1000.0000000000002</v>
      </c>
      <c r="Q23" s="52">
        <f>Q13*'Key Variables'!$C$7</f>
        <v>1083.3333333333335</v>
      </c>
      <c r="R23" s="52">
        <f>R13*'Key Variables'!$C$7</f>
        <v>1166.666666666667</v>
      </c>
      <c r="S23" s="52">
        <f>S13*'Key Variables'!$C$7</f>
        <v>1250.0000000000005</v>
      </c>
      <c r="T23" s="52">
        <f>T13*'Key Variables'!$C$7</f>
        <v>1333.3333333333337</v>
      </c>
      <c r="U23" s="52">
        <f>U13*'Key Variables'!$C$7</f>
        <v>1416.6666666666672</v>
      </c>
      <c r="V23" s="52">
        <f>V13*'Key Variables'!$C$7</f>
        <v>1500.0000000000005</v>
      </c>
      <c r="W23" s="52">
        <f>W13*'Key Variables'!$C$7</f>
        <v>1583.3333333333339</v>
      </c>
      <c r="X23" s="52">
        <f>X13*'Key Variables'!$C$7</f>
        <v>1666.6666666666672</v>
      </c>
      <c r="Y23" s="52">
        <f>Y13*'Key Variables'!$C$7</f>
        <v>1750.0000000000005</v>
      </c>
      <c r="Z23" s="52">
        <f>Z13*'Key Variables'!$C$7</f>
        <v>1854.1666666666672</v>
      </c>
      <c r="AA23" s="52">
        <f>AA13*'Key Variables'!$C$7</f>
        <v>1958.3333333333339</v>
      </c>
      <c r="AB23" s="52">
        <f>AB13*'Key Variables'!$C$7</f>
        <v>2062.5000000000009</v>
      </c>
      <c r="AC23" s="52">
        <f>AC13*'Key Variables'!$C$7</f>
        <v>2166.6666666666674</v>
      </c>
      <c r="AD23" s="52">
        <f>AD13*'Key Variables'!$C$7</f>
        <v>2270.8333333333344</v>
      </c>
      <c r="AE23" s="52">
        <f>AE13*'Key Variables'!$C$7</f>
        <v>2375.0000000000009</v>
      </c>
      <c r="AF23" s="52">
        <f>AF13*'Key Variables'!$C$7</f>
        <v>2479.1666666666679</v>
      </c>
      <c r="AG23" s="52">
        <f>AG13*'Key Variables'!$C$7</f>
        <v>2583.3333333333348</v>
      </c>
      <c r="AH23" s="52">
        <f>AH13*'Key Variables'!$C$7</f>
        <v>2687.5000000000014</v>
      </c>
      <c r="AI23" s="52">
        <f>AI13*'Key Variables'!$C$7</f>
        <v>2791.6666666666683</v>
      </c>
      <c r="AJ23" s="52">
        <f>AJ13*'Key Variables'!$C$7</f>
        <v>2895.8333333333348</v>
      </c>
      <c r="AK23" s="52">
        <f>AK13*'Key Variables'!$C$7</f>
        <v>3000.0000000000018</v>
      </c>
      <c r="AL23" s="52">
        <f>AL13*'Key Variables'!$C$7</f>
        <v>3125.0000000000018</v>
      </c>
      <c r="AM23" s="52">
        <f>AM13*'Key Variables'!$C$7</f>
        <v>3250.0000000000014</v>
      </c>
      <c r="AN23" s="52">
        <f>AN13*'Key Variables'!$C$7</f>
        <v>3375.0000000000014</v>
      </c>
      <c r="AO23" s="52">
        <f>AO13*'Key Variables'!$C$7</f>
        <v>3500.0000000000014</v>
      </c>
      <c r="AP23" s="52">
        <f>AP13*'Key Variables'!$C$7</f>
        <v>3625.0000000000014</v>
      </c>
      <c r="AQ23" s="52">
        <f>AQ13*'Key Variables'!$C$7</f>
        <v>3750.0000000000014</v>
      </c>
      <c r="AR23" s="52">
        <f>AR13*'Key Variables'!$C$7</f>
        <v>3875.0000000000014</v>
      </c>
      <c r="AS23" s="52">
        <f>AS13*'Key Variables'!$C$7</f>
        <v>4000.0000000000014</v>
      </c>
      <c r="AT23" s="52">
        <f>AT13*'Key Variables'!$C$7</f>
        <v>4125.0000000000018</v>
      </c>
      <c r="AU23" s="52">
        <f>AU13*'Key Variables'!$C$7</f>
        <v>4250.0000000000018</v>
      </c>
      <c r="AV23" s="52">
        <f>AV13*'Key Variables'!$C$7</f>
        <v>4375.0000000000018</v>
      </c>
      <c r="AW23" s="52">
        <f>AW13*'Key Variables'!$C$7</f>
        <v>4500.0000000000018</v>
      </c>
      <c r="AX23" s="58">
        <f t="shared" si="37"/>
        <v>1</v>
      </c>
    </row>
    <row r="24" spans="1:50" hidden="1" x14ac:dyDescent="0.25">
      <c r="A24" s="10" t="s">
        <v>138</v>
      </c>
      <c r="B24" s="52">
        <f>B14*'Key Variables'!$C$7</f>
        <v>31.25</v>
      </c>
      <c r="C24" s="52">
        <f>C14*'Key Variables'!$C$7</f>
        <v>62.5</v>
      </c>
      <c r="D24" s="52">
        <f>D14*'Key Variables'!$C$7</f>
        <v>93.75</v>
      </c>
      <c r="E24" s="52">
        <f>E14*'Key Variables'!$C$7</f>
        <v>125</v>
      </c>
      <c r="F24" s="52">
        <f>F14*'Key Variables'!$C$7</f>
        <v>156.25</v>
      </c>
      <c r="G24" s="52">
        <f>G14*'Key Variables'!$C$7</f>
        <v>187.5</v>
      </c>
      <c r="H24" s="52">
        <f>H14*'Key Variables'!$C$7</f>
        <v>218.75</v>
      </c>
      <c r="I24" s="52">
        <f>I14*'Key Variables'!$C$7</f>
        <v>250</v>
      </c>
      <c r="J24" s="52">
        <f>J14*'Key Variables'!$C$7</f>
        <v>281.25</v>
      </c>
      <c r="K24" s="52">
        <f>K14*'Key Variables'!$C$7</f>
        <v>312.5</v>
      </c>
      <c r="L24" s="52">
        <f>L14*'Key Variables'!$C$7</f>
        <v>343.75</v>
      </c>
      <c r="M24" s="52">
        <f>M14*'Key Variables'!$C$7</f>
        <v>375</v>
      </c>
      <c r="N24" s="52">
        <f>N14*'Key Variables'!$C$7</f>
        <v>416.66666666666669</v>
      </c>
      <c r="O24" s="52">
        <f>O14*'Key Variables'!$C$7</f>
        <v>458.33333333333337</v>
      </c>
      <c r="P24" s="52">
        <f>P14*'Key Variables'!$C$7</f>
        <v>500.00000000000011</v>
      </c>
      <c r="Q24" s="52">
        <f>Q14*'Key Variables'!$C$7</f>
        <v>541.66666666666674</v>
      </c>
      <c r="R24" s="52">
        <f>R14*'Key Variables'!$C$7</f>
        <v>583.33333333333348</v>
      </c>
      <c r="S24" s="52">
        <f>S14*'Key Variables'!$C$7</f>
        <v>625.00000000000023</v>
      </c>
      <c r="T24" s="52">
        <f>T14*'Key Variables'!$C$7</f>
        <v>666.66666666666686</v>
      </c>
      <c r="U24" s="52">
        <f>U14*'Key Variables'!$C$7</f>
        <v>708.3333333333336</v>
      </c>
      <c r="V24" s="52">
        <f>V14*'Key Variables'!$C$7</f>
        <v>750.00000000000023</v>
      </c>
      <c r="W24" s="52">
        <f>W14*'Key Variables'!$C$7</f>
        <v>791.66666666666697</v>
      </c>
      <c r="X24" s="52">
        <f>X14*'Key Variables'!$C$7</f>
        <v>833.3333333333336</v>
      </c>
      <c r="Y24" s="52">
        <f>Y14*'Key Variables'!$C$7</f>
        <v>875.00000000000023</v>
      </c>
      <c r="Z24" s="52">
        <f>Z14*'Key Variables'!$C$7</f>
        <v>927.0833333333336</v>
      </c>
      <c r="AA24" s="52">
        <f>AA14*'Key Variables'!$C$7</f>
        <v>979.16666666666697</v>
      </c>
      <c r="AB24" s="52">
        <f>AB14*'Key Variables'!$C$7</f>
        <v>1031.2500000000005</v>
      </c>
      <c r="AC24" s="52">
        <f>AC14*'Key Variables'!$C$7</f>
        <v>1083.3333333333337</v>
      </c>
      <c r="AD24" s="52">
        <f>AD14*'Key Variables'!$C$7</f>
        <v>1135.4166666666672</v>
      </c>
      <c r="AE24" s="52">
        <f>AE14*'Key Variables'!$C$7</f>
        <v>1187.5000000000005</v>
      </c>
      <c r="AF24" s="52">
        <f>AF14*'Key Variables'!$C$7</f>
        <v>1239.5833333333339</v>
      </c>
      <c r="AG24" s="52">
        <f>AG14*'Key Variables'!$C$7</f>
        <v>1291.6666666666674</v>
      </c>
      <c r="AH24" s="52">
        <f>AH14*'Key Variables'!$C$7</f>
        <v>1343.7500000000007</v>
      </c>
      <c r="AI24" s="52">
        <f>AI14*'Key Variables'!$C$7</f>
        <v>1395.8333333333342</v>
      </c>
      <c r="AJ24" s="52">
        <f>AJ14*'Key Variables'!$C$7</f>
        <v>1447.9166666666674</v>
      </c>
      <c r="AK24" s="52">
        <f>AK14*'Key Variables'!$C$7</f>
        <v>1500.0000000000009</v>
      </c>
      <c r="AL24" s="52">
        <f>AL14*'Key Variables'!$C$7</f>
        <v>1562.5000000000009</v>
      </c>
      <c r="AM24" s="52">
        <f>AM14*'Key Variables'!$C$7</f>
        <v>1625.0000000000007</v>
      </c>
      <c r="AN24" s="52">
        <f>AN14*'Key Variables'!$C$7</f>
        <v>1687.5000000000007</v>
      </c>
      <c r="AO24" s="52">
        <f>AO14*'Key Variables'!$C$7</f>
        <v>1750.0000000000007</v>
      </c>
      <c r="AP24" s="52">
        <f>AP14*'Key Variables'!$C$7</f>
        <v>1812.5000000000007</v>
      </c>
      <c r="AQ24" s="52">
        <f>AQ14*'Key Variables'!$C$7</f>
        <v>1875.0000000000007</v>
      </c>
      <c r="AR24" s="52">
        <f>AR14*'Key Variables'!$C$7</f>
        <v>1937.5000000000007</v>
      </c>
      <c r="AS24" s="52">
        <f>AS14*'Key Variables'!$C$7</f>
        <v>2000.0000000000007</v>
      </c>
      <c r="AT24" s="52">
        <f>AT14*'Key Variables'!$C$7</f>
        <v>2062.5000000000009</v>
      </c>
      <c r="AU24" s="52">
        <f>AU14*'Key Variables'!$C$7</f>
        <v>2125.0000000000009</v>
      </c>
      <c r="AV24" s="52">
        <f>AV14*'Key Variables'!$C$7</f>
        <v>2187.5000000000009</v>
      </c>
      <c r="AW24" s="52">
        <f>AW14*'Key Variables'!$C$7</f>
        <v>2250.0000000000009</v>
      </c>
      <c r="AX24" s="58">
        <f t="shared" si="37"/>
        <v>0.5</v>
      </c>
    </row>
    <row r="25" spans="1:50" hidden="1" x14ac:dyDescent="0.25">
      <c r="A25" s="10"/>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row>
    <row r="26" spans="1:50" hidden="1" x14ac:dyDescent="0.25">
      <c r="A26" s="10" t="s">
        <v>120</v>
      </c>
      <c r="B26" s="36">
        <f>B4*'Key Variables'!$C$17</f>
        <v>25000</v>
      </c>
      <c r="C26" s="36">
        <f>C4*'Key Variables'!$C$17</f>
        <v>25000</v>
      </c>
      <c r="D26" s="36">
        <f>D4*'Key Variables'!$C$17</f>
        <v>25000</v>
      </c>
      <c r="E26" s="36">
        <f>E4*'Key Variables'!$C$17</f>
        <v>25000</v>
      </c>
      <c r="F26" s="36">
        <f>F4*'Key Variables'!$C$17</f>
        <v>25000</v>
      </c>
      <c r="G26" s="36">
        <f>G4*'Key Variables'!$C$17</f>
        <v>25000</v>
      </c>
      <c r="H26" s="36">
        <f>H4*'Key Variables'!$C$17</f>
        <v>25000</v>
      </c>
      <c r="I26" s="36">
        <f>I4*'Key Variables'!$C$17</f>
        <v>25000</v>
      </c>
      <c r="J26" s="36">
        <f>J4*'Key Variables'!$C$17</f>
        <v>25000</v>
      </c>
      <c r="K26" s="36">
        <f>K4*'Key Variables'!$C$17</f>
        <v>25000</v>
      </c>
      <c r="L26" s="36">
        <f>L4*'Key Variables'!$C$17</f>
        <v>25000</v>
      </c>
      <c r="M26" s="36">
        <f>M4*'Key Variables'!$C$17</f>
        <v>25000</v>
      </c>
      <c r="N26" s="36">
        <f>N4*'Key Variables'!$C$17</f>
        <v>33333.333333333336</v>
      </c>
      <c r="O26" s="36">
        <f>O4*'Key Variables'!$C$17</f>
        <v>33333.333333333336</v>
      </c>
      <c r="P26" s="36">
        <f>P4*'Key Variables'!$C$17</f>
        <v>33333.333333333336</v>
      </c>
      <c r="Q26" s="36">
        <f>Q4*'Key Variables'!$C$17</f>
        <v>33333.333333333336</v>
      </c>
      <c r="R26" s="36">
        <f>R4*'Key Variables'!$C$17</f>
        <v>33333.333333333336</v>
      </c>
      <c r="S26" s="36">
        <f>S4*'Key Variables'!$C$17</f>
        <v>33333.333333333336</v>
      </c>
      <c r="T26" s="36">
        <f>T4*'Key Variables'!$C$17</f>
        <v>33333.333333333336</v>
      </c>
      <c r="U26" s="36">
        <f>U4*'Key Variables'!$C$17</f>
        <v>33333.333333333336</v>
      </c>
      <c r="V26" s="36">
        <f>V4*'Key Variables'!$C$17</f>
        <v>33333.333333333336</v>
      </c>
      <c r="W26" s="36">
        <f>W4*'Key Variables'!$C$17</f>
        <v>33333.333333333336</v>
      </c>
      <c r="X26" s="36">
        <f>X4*'Key Variables'!$C$17</f>
        <v>33333.333333333336</v>
      </c>
      <c r="Y26" s="36">
        <f>Y4*'Key Variables'!$C$17</f>
        <v>33333.333333333336</v>
      </c>
      <c r="Z26" s="36">
        <f>Z4*'Key Variables'!$C$17</f>
        <v>41666.666666666672</v>
      </c>
      <c r="AA26" s="36">
        <f>AA4*'Key Variables'!$C$17</f>
        <v>41666.666666666672</v>
      </c>
      <c r="AB26" s="36">
        <f>AB4*'Key Variables'!$C$17</f>
        <v>41666.666666666672</v>
      </c>
      <c r="AC26" s="36">
        <f>AC4*'Key Variables'!$C$17</f>
        <v>41666.666666666672</v>
      </c>
      <c r="AD26" s="36">
        <f>AD4*'Key Variables'!$C$17</f>
        <v>41666.666666666672</v>
      </c>
      <c r="AE26" s="36">
        <f>AE4*'Key Variables'!$C$17</f>
        <v>41666.666666666672</v>
      </c>
      <c r="AF26" s="36">
        <f>AF4*'Key Variables'!$C$17</f>
        <v>41666.666666666672</v>
      </c>
      <c r="AG26" s="36">
        <f>AG4*'Key Variables'!$C$17</f>
        <v>41666.666666666672</v>
      </c>
      <c r="AH26" s="36">
        <f>AH4*'Key Variables'!$C$17</f>
        <v>41666.666666666672</v>
      </c>
      <c r="AI26" s="36">
        <f>AI4*'Key Variables'!$C$17</f>
        <v>41666.666666666672</v>
      </c>
      <c r="AJ26" s="36">
        <f>AJ4*'Key Variables'!$C$17</f>
        <v>41666.666666666672</v>
      </c>
      <c r="AK26" s="36">
        <f>AK4*'Key Variables'!$C$17</f>
        <v>41666.666666666672</v>
      </c>
      <c r="AL26" s="36">
        <f>AL4*'Key Variables'!$C$17</f>
        <v>50000</v>
      </c>
      <c r="AM26" s="36">
        <f>AM4*'Key Variables'!$C$17</f>
        <v>50000</v>
      </c>
      <c r="AN26" s="36">
        <f>AN4*'Key Variables'!$C$17</f>
        <v>50000</v>
      </c>
      <c r="AO26" s="36">
        <f>AO4*'Key Variables'!$C$17</f>
        <v>50000</v>
      </c>
      <c r="AP26" s="36">
        <f>AP4*'Key Variables'!$C$17</f>
        <v>50000</v>
      </c>
      <c r="AQ26" s="36">
        <f>AQ4*'Key Variables'!$C$17</f>
        <v>50000</v>
      </c>
      <c r="AR26" s="36">
        <f>AR4*'Key Variables'!$C$17</f>
        <v>50000</v>
      </c>
      <c r="AS26" s="36">
        <f>AS4*'Key Variables'!$C$17</f>
        <v>50000</v>
      </c>
      <c r="AT26" s="36">
        <f>AT4*'Key Variables'!$C$17</f>
        <v>50000</v>
      </c>
      <c r="AU26" s="36">
        <f>AU4*'Key Variables'!$C$17</f>
        <v>50000</v>
      </c>
      <c r="AV26" s="36">
        <f>AV4*'Key Variables'!$C$17</f>
        <v>50000</v>
      </c>
      <c r="AW26" s="36">
        <f>AW4*'Key Variables'!$C$17</f>
        <v>50000</v>
      </c>
      <c r="AX26" s="4">
        <f>SUM(B26:AW26)</f>
        <v>1800000</v>
      </c>
    </row>
    <row r="27" spans="1:50" s="21" customFormat="1" hidden="1" x14ac:dyDescent="0.25">
      <c r="A27" s="10" t="s">
        <v>121</v>
      </c>
      <c r="B27" s="36">
        <f>B9*'Key Variables'!$C$21*'Key Variables'!$C$7</f>
        <v>46.875</v>
      </c>
      <c r="C27" s="36">
        <f>C9*'Key Variables'!$C$21*'Key Variables'!$C$7</f>
        <v>93.75</v>
      </c>
      <c r="D27" s="36">
        <f>D9*'Key Variables'!$C$21*'Key Variables'!$C$7</f>
        <v>140.625</v>
      </c>
      <c r="E27" s="36">
        <f>E9*'Key Variables'!$C$21*'Key Variables'!$C$7</f>
        <v>187.5</v>
      </c>
      <c r="F27" s="36">
        <f>F9*'Key Variables'!$C$21*'Key Variables'!$C$7</f>
        <v>234.375</v>
      </c>
      <c r="G27" s="36">
        <f>G9*'Key Variables'!$C$21*'Key Variables'!$C$7</f>
        <v>281.25</v>
      </c>
      <c r="H27" s="36">
        <f>H9*'Key Variables'!$C$21*'Key Variables'!$C$7</f>
        <v>328.125</v>
      </c>
      <c r="I27" s="36">
        <f>I9*'Key Variables'!$C$21*'Key Variables'!$C$7</f>
        <v>375</v>
      </c>
      <c r="J27" s="36">
        <f>J9*'Key Variables'!$C$21*'Key Variables'!$C$7</f>
        <v>421.875</v>
      </c>
      <c r="K27" s="36">
        <f>K9*'Key Variables'!$C$21*'Key Variables'!$C$7</f>
        <v>468.75</v>
      </c>
      <c r="L27" s="36">
        <f>L9*'Key Variables'!$C$21*'Key Variables'!$C$7</f>
        <v>515.625</v>
      </c>
      <c r="M27" s="36">
        <f>M9*'Key Variables'!$C$21*'Key Variables'!$C$7</f>
        <v>562.5</v>
      </c>
      <c r="N27" s="36">
        <f>N9*'Key Variables'!$C$21*'Key Variables'!$C$7</f>
        <v>625.00000000000011</v>
      </c>
      <c r="O27" s="36">
        <f>O9*'Key Variables'!$C$21*'Key Variables'!$C$7</f>
        <v>687.50000000000011</v>
      </c>
      <c r="P27" s="36">
        <f>P9*'Key Variables'!$C$21*'Key Variables'!$C$7</f>
        <v>750.00000000000011</v>
      </c>
      <c r="Q27" s="36">
        <f>Q9*'Key Variables'!$C$21*'Key Variables'!$C$7</f>
        <v>812.50000000000023</v>
      </c>
      <c r="R27" s="36">
        <f>R9*'Key Variables'!$C$21*'Key Variables'!$C$7</f>
        <v>875.00000000000034</v>
      </c>
      <c r="S27" s="36">
        <f>S9*'Key Variables'!$C$21*'Key Variables'!$C$7</f>
        <v>937.50000000000034</v>
      </c>
      <c r="T27" s="36">
        <f>T9*'Key Variables'!$C$21*'Key Variables'!$C$7</f>
        <v>1000.0000000000002</v>
      </c>
      <c r="U27" s="36">
        <f>U9*'Key Variables'!$C$21*'Key Variables'!$C$7</f>
        <v>1062.5000000000002</v>
      </c>
      <c r="V27" s="36">
        <f>V9*'Key Variables'!$C$21*'Key Variables'!$C$7</f>
        <v>1125.0000000000005</v>
      </c>
      <c r="W27" s="36">
        <f>W9*'Key Variables'!$C$21*'Key Variables'!$C$7</f>
        <v>1187.5000000000005</v>
      </c>
      <c r="X27" s="36">
        <f>X9*'Key Variables'!$C$21*'Key Variables'!$C$7</f>
        <v>1250.0000000000002</v>
      </c>
      <c r="Y27" s="36">
        <f>Y9*'Key Variables'!$C$21*'Key Variables'!$C$7</f>
        <v>1312.5000000000002</v>
      </c>
      <c r="Z27" s="36">
        <f>Z9*'Key Variables'!$C$21*'Key Variables'!$C$7</f>
        <v>1390.6250000000002</v>
      </c>
      <c r="AA27" s="36">
        <f>AA9*'Key Variables'!$C$21*'Key Variables'!$C$7</f>
        <v>1468.7500000000007</v>
      </c>
      <c r="AB27" s="36">
        <f>AB9*'Key Variables'!$C$21*'Key Variables'!$C$7</f>
        <v>1546.8750000000007</v>
      </c>
      <c r="AC27" s="36">
        <f>AC9*'Key Variables'!$C$21*'Key Variables'!$C$7</f>
        <v>1625.0000000000007</v>
      </c>
      <c r="AD27" s="36">
        <f>AD9*'Key Variables'!$C$21*'Key Variables'!$C$7</f>
        <v>1703.1250000000007</v>
      </c>
      <c r="AE27" s="36">
        <f>AE9*'Key Variables'!$C$21*'Key Variables'!$C$7</f>
        <v>1781.2500000000007</v>
      </c>
      <c r="AF27" s="36">
        <f>AF9*'Key Variables'!$C$21*'Key Variables'!$C$7</f>
        <v>1859.3750000000007</v>
      </c>
      <c r="AG27" s="36">
        <f>AG9*'Key Variables'!$C$21*'Key Variables'!$C$7</f>
        <v>1937.5000000000007</v>
      </c>
      <c r="AH27" s="36">
        <f>AH9*'Key Variables'!$C$21*'Key Variables'!$C$7</f>
        <v>2015.6250000000014</v>
      </c>
      <c r="AI27" s="36">
        <f>AI9*'Key Variables'!$C$21*'Key Variables'!$C$7</f>
        <v>2093.7500000000014</v>
      </c>
      <c r="AJ27" s="36">
        <f>AJ9*'Key Variables'!$C$21*'Key Variables'!$C$7</f>
        <v>2171.8750000000014</v>
      </c>
      <c r="AK27" s="36">
        <f>AK9*'Key Variables'!$C$21*'Key Variables'!$C$7</f>
        <v>2250.0000000000014</v>
      </c>
      <c r="AL27" s="36">
        <f>AL9*'Key Variables'!$C$21*'Key Variables'!$C$7</f>
        <v>2343.7500000000014</v>
      </c>
      <c r="AM27" s="36">
        <f>AM9*'Key Variables'!$C$21*'Key Variables'!$C$7</f>
        <v>2437.5000000000014</v>
      </c>
      <c r="AN27" s="36">
        <f>AN9*'Key Variables'!$C$21*'Key Variables'!$C$7</f>
        <v>2531.2500000000014</v>
      </c>
      <c r="AO27" s="36">
        <f>AO9*'Key Variables'!$C$21*'Key Variables'!$C$7</f>
        <v>2625.0000000000014</v>
      </c>
      <c r="AP27" s="36">
        <f>AP9*'Key Variables'!$C$21*'Key Variables'!$C$7</f>
        <v>2718.7500000000014</v>
      </c>
      <c r="AQ27" s="36">
        <f>AQ9*'Key Variables'!$C$21*'Key Variables'!$C$7</f>
        <v>2812.5000000000014</v>
      </c>
      <c r="AR27" s="36">
        <f>AR9*'Key Variables'!$C$21*'Key Variables'!$C$7</f>
        <v>2906.2500000000014</v>
      </c>
      <c r="AS27" s="36">
        <f>AS9*'Key Variables'!$C$21*'Key Variables'!$C$7</f>
        <v>3000.0000000000014</v>
      </c>
      <c r="AT27" s="36">
        <f>AT9*'Key Variables'!$C$21*'Key Variables'!$C$7</f>
        <v>3093.7500000000014</v>
      </c>
      <c r="AU27" s="36">
        <f>AU9*'Key Variables'!$C$21*'Key Variables'!$C$7</f>
        <v>3187.5000000000014</v>
      </c>
      <c r="AV27" s="36">
        <f>AV9*'Key Variables'!$C$21*'Key Variables'!$C$7</f>
        <v>3281.2500000000014</v>
      </c>
      <c r="AW27" s="36">
        <f>AW9*'Key Variables'!$C$21*'Key Variables'!$C$7</f>
        <v>3375.0000000000014</v>
      </c>
      <c r="AX27" s="4">
        <f t="shared" ref="AX27:AX45" si="38">SUM(B27:AW27)</f>
        <v>71437.5</v>
      </c>
    </row>
    <row r="28" spans="1:50" s="21" customFormat="1" hidden="1" x14ac:dyDescent="0.25">
      <c r="A28" s="10" t="s">
        <v>127</v>
      </c>
      <c r="B28" s="36">
        <f>B22*'Key Variables'!$C$22</f>
        <v>2031.25</v>
      </c>
      <c r="C28" s="36">
        <f>C22*'Key Variables'!$C$22</f>
        <v>4062.5</v>
      </c>
      <c r="D28" s="36">
        <f>D22*'Key Variables'!$C$22</f>
        <v>6093.75</v>
      </c>
      <c r="E28" s="36">
        <f>E22*'Key Variables'!$C$22</f>
        <v>8125</v>
      </c>
      <c r="F28" s="36">
        <f>F22*'Key Variables'!$C$22</f>
        <v>10156.25</v>
      </c>
      <c r="G28" s="36">
        <f>G22*'Key Variables'!$C$22</f>
        <v>12187.5</v>
      </c>
      <c r="H28" s="36">
        <f>H22*'Key Variables'!$C$22</f>
        <v>14218.75</v>
      </c>
      <c r="I28" s="36">
        <f>I22*'Key Variables'!$C$22</f>
        <v>16250</v>
      </c>
      <c r="J28" s="36">
        <f>J22*'Key Variables'!$C$22</f>
        <v>18281.25</v>
      </c>
      <c r="K28" s="36">
        <f>K22*'Key Variables'!$C$22</f>
        <v>20312.5</v>
      </c>
      <c r="L28" s="36">
        <f>L22*'Key Variables'!$C$22</f>
        <v>22343.75</v>
      </c>
      <c r="M28" s="36">
        <f>M22*'Key Variables'!$C$22</f>
        <v>24375</v>
      </c>
      <c r="N28" s="36">
        <f>N22*'Key Variables'!$C$22</f>
        <v>27083.333333333336</v>
      </c>
      <c r="O28" s="36">
        <f>O22*'Key Variables'!$C$22</f>
        <v>29791.666666666668</v>
      </c>
      <c r="P28" s="36">
        <f>P22*'Key Variables'!$C$22</f>
        <v>32500.000000000007</v>
      </c>
      <c r="Q28" s="36">
        <f>Q22*'Key Variables'!$C$22</f>
        <v>35208.333333333336</v>
      </c>
      <c r="R28" s="36">
        <f>R22*'Key Variables'!$C$22</f>
        <v>37916.666666666679</v>
      </c>
      <c r="S28" s="36">
        <f>S22*'Key Variables'!$C$22</f>
        <v>40625.000000000015</v>
      </c>
      <c r="T28" s="36">
        <f>T22*'Key Variables'!$C$22</f>
        <v>43333.333333333343</v>
      </c>
      <c r="U28" s="36">
        <f>U22*'Key Variables'!$C$22</f>
        <v>46041.666666666686</v>
      </c>
      <c r="V28" s="36">
        <f>V22*'Key Variables'!$C$22</f>
        <v>48750.000000000015</v>
      </c>
      <c r="W28" s="36">
        <f>W22*'Key Variables'!$C$22</f>
        <v>51458.33333333335</v>
      </c>
      <c r="X28" s="36">
        <f>X22*'Key Variables'!$C$22</f>
        <v>54166.666666666686</v>
      </c>
      <c r="Y28" s="36">
        <f>Y22*'Key Variables'!$C$22</f>
        <v>56875.000000000015</v>
      </c>
      <c r="Z28" s="36">
        <f>Z22*'Key Variables'!$C$22</f>
        <v>60260.416666666686</v>
      </c>
      <c r="AA28" s="36">
        <f>AA22*'Key Variables'!$C$22</f>
        <v>63645.83333333335</v>
      </c>
      <c r="AB28" s="36">
        <f>AB22*'Key Variables'!$C$22</f>
        <v>67031.250000000029</v>
      </c>
      <c r="AC28" s="36">
        <f>AC22*'Key Variables'!$C$22</f>
        <v>70416.666666666686</v>
      </c>
      <c r="AD28" s="36">
        <f>AD22*'Key Variables'!$C$22</f>
        <v>73802.083333333372</v>
      </c>
      <c r="AE28" s="36">
        <f>AE22*'Key Variables'!$C$22</f>
        <v>77187.500000000029</v>
      </c>
      <c r="AF28" s="36">
        <f>AF22*'Key Variables'!$C$22</f>
        <v>80572.916666666701</v>
      </c>
      <c r="AG28" s="36">
        <f>AG22*'Key Variables'!$C$22</f>
        <v>83958.333333333387</v>
      </c>
      <c r="AH28" s="36">
        <f>AH22*'Key Variables'!$C$22</f>
        <v>87343.750000000044</v>
      </c>
      <c r="AI28" s="36">
        <f>AI22*'Key Variables'!$C$22</f>
        <v>90729.166666666715</v>
      </c>
      <c r="AJ28" s="36">
        <f>AJ22*'Key Variables'!$C$22</f>
        <v>94114.583333333387</v>
      </c>
      <c r="AK28" s="36">
        <f>AK22*'Key Variables'!$C$22</f>
        <v>97500.000000000058</v>
      </c>
      <c r="AL28" s="36">
        <f>AL22*'Key Variables'!$C$22</f>
        <v>101562.50000000006</v>
      </c>
      <c r="AM28" s="36">
        <f>AM22*'Key Variables'!$C$22</f>
        <v>105625.00000000004</v>
      </c>
      <c r="AN28" s="36">
        <f>AN22*'Key Variables'!$C$22</f>
        <v>109687.50000000004</v>
      </c>
      <c r="AO28" s="36">
        <f>AO22*'Key Variables'!$C$22</f>
        <v>113750.00000000004</v>
      </c>
      <c r="AP28" s="36">
        <f>AP22*'Key Variables'!$C$22</f>
        <v>117812.50000000004</v>
      </c>
      <c r="AQ28" s="36">
        <f>AQ22*'Key Variables'!$C$22</f>
        <v>121875.00000000004</v>
      </c>
      <c r="AR28" s="36">
        <f>AR22*'Key Variables'!$C$22</f>
        <v>125937.50000000004</v>
      </c>
      <c r="AS28" s="36">
        <f>AS22*'Key Variables'!$C$22</f>
        <v>130000.00000000004</v>
      </c>
      <c r="AT28" s="36">
        <f>AT22*'Key Variables'!$C$22</f>
        <v>134062.50000000006</v>
      </c>
      <c r="AU28" s="36">
        <f>AU22*'Key Variables'!$C$22</f>
        <v>138125.00000000006</v>
      </c>
      <c r="AV28" s="36">
        <f>AV22*'Key Variables'!$C$22</f>
        <v>142187.50000000006</v>
      </c>
      <c r="AW28" s="36">
        <f>AW22*'Key Variables'!$C$22</f>
        <v>146250.00000000006</v>
      </c>
      <c r="AX28" s="4">
        <f t="shared" si="38"/>
        <v>3095625.0000000009</v>
      </c>
    </row>
    <row r="29" spans="1:50" s="21" customFormat="1" hidden="1" x14ac:dyDescent="0.25">
      <c r="A29" s="10" t="s">
        <v>396</v>
      </c>
      <c r="B29" s="36">
        <f>B4*'Key Variables'!$C$7*'Key Variables'!$C$19</f>
        <v>156250</v>
      </c>
      <c r="C29" s="36">
        <f>C4*'Key Variables'!$C$7*'Key Variables'!$C$19</f>
        <v>156250</v>
      </c>
      <c r="D29" s="36">
        <f>D4*'Key Variables'!$C$7*'Key Variables'!$C$19</f>
        <v>156250</v>
      </c>
      <c r="E29" s="36">
        <f>E4*'Key Variables'!$C$7*'Key Variables'!$C$19</f>
        <v>156250</v>
      </c>
      <c r="F29" s="36">
        <f>F4*'Key Variables'!$C$7*'Key Variables'!$C$19</f>
        <v>156250</v>
      </c>
      <c r="G29" s="36">
        <f>G4*'Key Variables'!$C$7*'Key Variables'!$C$19</f>
        <v>156250</v>
      </c>
      <c r="H29" s="36">
        <f>H4*'Key Variables'!$C$7*'Key Variables'!$C$19</f>
        <v>156250</v>
      </c>
      <c r="I29" s="36">
        <f>I4*'Key Variables'!$C$7*'Key Variables'!$C$19</f>
        <v>156250</v>
      </c>
      <c r="J29" s="36">
        <f>J4*'Key Variables'!$C$7*'Key Variables'!$C$19</f>
        <v>156250</v>
      </c>
      <c r="K29" s="36">
        <f>K4*'Key Variables'!$C$7*'Key Variables'!$C$19</f>
        <v>156250</v>
      </c>
      <c r="L29" s="36">
        <f>L4*'Key Variables'!$C$7*'Key Variables'!$C$19</f>
        <v>156250</v>
      </c>
      <c r="M29" s="36">
        <f>M4*'Key Variables'!$C$7*'Key Variables'!$C$19</f>
        <v>156250</v>
      </c>
      <c r="N29" s="36">
        <f>N4*'Key Variables'!$C$7*'Key Variables'!$C$19</f>
        <v>208333.33333333334</v>
      </c>
      <c r="O29" s="36">
        <f>O4*'Key Variables'!$C$7*'Key Variables'!$C$19</f>
        <v>208333.33333333334</v>
      </c>
      <c r="P29" s="36">
        <f>P4*'Key Variables'!$C$7*'Key Variables'!$C$19</f>
        <v>208333.33333333334</v>
      </c>
      <c r="Q29" s="36">
        <f>Q4*'Key Variables'!$C$7*'Key Variables'!$C$19</f>
        <v>208333.33333333334</v>
      </c>
      <c r="R29" s="36">
        <f>R4*'Key Variables'!$C$7*'Key Variables'!$C$19</f>
        <v>208333.33333333334</v>
      </c>
      <c r="S29" s="36">
        <f>S4*'Key Variables'!$C$7*'Key Variables'!$C$19</f>
        <v>208333.33333333334</v>
      </c>
      <c r="T29" s="36">
        <f>T4*'Key Variables'!$C$7*'Key Variables'!$C$19</f>
        <v>208333.33333333334</v>
      </c>
      <c r="U29" s="36">
        <f>U4*'Key Variables'!$C$7*'Key Variables'!$C$19</f>
        <v>208333.33333333334</v>
      </c>
      <c r="V29" s="36">
        <f>V4*'Key Variables'!$C$7*'Key Variables'!$C$19</f>
        <v>208333.33333333334</v>
      </c>
      <c r="W29" s="36">
        <f>W4*'Key Variables'!$C$7*'Key Variables'!$C$19</f>
        <v>208333.33333333334</v>
      </c>
      <c r="X29" s="36">
        <f>X4*'Key Variables'!$C$7*'Key Variables'!$C$19</f>
        <v>208333.33333333334</v>
      </c>
      <c r="Y29" s="36">
        <f>Y4*'Key Variables'!$C$7*'Key Variables'!$C$19</f>
        <v>208333.33333333334</v>
      </c>
      <c r="Z29" s="36">
        <f>Z4*'Key Variables'!$C$7*'Key Variables'!$C$19</f>
        <v>260416.66666666669</v>
      </c>
      <c r="AA29" s="36">
        <f>AA4*'Key Variables'!$C$7*'Key Variables'!$C$19</f>
        <v>260416.66666666669</v>
      </c>
      <c r="AB29" s="36">
        <f>AB4*'Key Variables'!$C$7*'Key Variables'!$C$19</f>
        <v>260416.66666666669</v>
      </c>
      <c r="AC29" s="36">
        <f>AC4*'Key Variables'!$C$7*'Key Variables'!$C$19</f>
        <v>260416.66666666669</v>
      </c>
      <c r="AD29" s="36">
        <f>AD4*'Key Variables'!$C$7*'Key Variables'!$C$19</f>
        <v>260416.66666666669</v>
      </c>
      <c r="AE29" s="36">
        <f>AE4*'Key Variables'!$C$7*'Key Variables'!$C$19</f>
        <v>260416.66666666669</v>
      </c>
      <c r="AF29" s="36">
        <f>AF4*'Key Variables'!$C$7*'Key Variables'!$C$19</f>
        <v>260416.66666666669</v>
      </c>
      <c r="AG29" s="36">
        <f>AG4*'Key Variables'!$C$7*'Key Variables'!$C$19</f>
        <v>260416.66666666669</v>
      </c>
      <c r="AH29" s="36">
        <f>AH4*'Key Variables'!$C$7*'Key Variables'!$C$19</f>
        <v>260416.66666666669</v>
      </c>
      <c r="AI29" s="36">
        <f>AI4*'Key Variables'!$C$7*'Key Variables'!$C$19</f>
        <v>260416.66666666669</v>
      </c>
      <c r="AJ29" s="36">
        <f>AJ4*'Key Variables'!$C$7*'Key Variables'!$C$19</f>
        <v>260416.66666666669</v>
      </c>
      <c r="AK29" s="36">
        <f>AK4*'Key Variables'!$C$7*'Key Variables'!$C$19</f>
        <v>260416.66666666669</v>
      </c>
      <c r="AL29" s="36">
        <f>AL4*'Key Variables'!$C$7*'Key Variables'!$C$19</f>
        <v>312500</v>
      </c>
      <c r="AM29" s="36">
        <f>AM4*'Key Variables'!$C$7*'Key Variables'!$C$19</f>
        <v>312500</v>
      </c>
      <c r="AN29" s="36">
        <f>AN4*'Key Variables'!$C$7*'Key Variables'!$C$19</f>
        <v>312500</v>
      </c>
      <c r="AO29" s="36">
        <f>AO4*'Key Variables'!$C$7*'Key Variables'!$C$19</f>
        <v>312500</v>
      </c>
      <c r="AP29" s="36">
        <f>AP4*'Key Variables'!$C$7*'Key Variables'!$C$19</f>
        <v>312500</v>
      </c>
      <c r="AQ29" s="36">
        <f>AQ4*'Key Variables'!$C$7*'Key Variables'!$C$19</f>
        <v>312500</v>
      </c>
      <c r="AR29" s="36">
        <f>AR4*'Key Variables'!$C$7*'Key Variables'!$C$19</f>
        <v>312500</v>
      </c>
      <c r="AS29" s="36">
        <f>AS4*'Key Variables'!$C$7*'Key Variables'!$C$19</f>
        <v>312500</v>
      </c>
      <c r="AT29" s="36">
        <f>AT4*'Key Variables'!$C$7*'Key Variables'!$C$19</f>
        <v>312500</v>
      </c>
      <c r="AU29" s="36">
        <f>AU4*'Key Variables'!$C$7*'Key Variables'!$C$19</f>
        <v>312500</v>
      </c>
      <c r="AV29" s="36">
        <f>AV4*'Key Variables'!$C$7*'Key Variables'!$C$19</f>
        <v>312500</v>
      </c>
      <c r="AW29" s="36">
        <f>AW4*'Key Variables'!$C$7*'Key Variables'!$C$19</f>
        <v>312500</v>
      </c>
      <c r="AX29" s="4"/>
    </row>
    <row r="30" spans="1:50" s="21" customFormat="1" hidden="1" x14ac:dyDescent="0.25">
      <c r="A30" s="10" t="s">
        <v>142</v>
      </c>
      <c r="B30" s="36"/>
      <c r="C30" s="36"/>
      <c r="D30" s="36"/>
      <c r="E30" s="36"/>
      <c r="F30" s="36"/>
      <c r="G30" s="36"/>
      <c r="H30" s="36">
        <f>B13*'Key Variables'!$C$18/12</f>
        <v>260.41666666666669</v>
      </c>
      <c r="I30" s="36">
        <f>C13*'Key Variables'!$C$18/12</f>
        <v>520.83333333333337</v>
      </c>
      <c r="J30" s="36">
        <f>D13*'Key Variables'!$C$18/12</f>
        <v>781.25</v>
      </c>
      <c r="K30" s="36">
        <f>E13*'Key Variables'!$C$18/12</f>
        <v>1041.6666666666667</v>
      </c>
      <c r="L30" s="36">
        <f>F13*'Key Variables'!$C$18/12</f>
        <v>1302.0833333333333</v>
      </c>
      <c r="M30" s="36">
        <f>G13*'Key Variables'!$C$18/12</f>
        <v>1562.5</v>
      </c>
      <c r="N30" s="36">
        <f>H13*'Key Variables'!$C$18/12</f>
        <v>1822.9166666666667</v>
      </c>
      <c r="O30" s="36">
        <f>I13*'Key Variables'!$C$18/12</f>
        <v>2083.3333333333335</v>
      </c>
      <c r="P30" s="36">
        <f>J13*'Key Variables'!$C$18/12</f>
        <v>2343.75</v>
      </c>
      <c r="Q30" s="36">
        <f>K13*'Key Variables'!$C$18/12</f>
        <v>2604.1666666666665</v>
      </c>
      <c r="R30" s="36">
        <f>L13*'Key Variables'!$C$18/12</f>
        <v>2864.5833333333335</v>
      </c>
      <c r="S30" s="36">
        <f>M13*'Key Variables'!$C$18/12</f>
        <v>3125</v>
      </c>
      <c r="T30" s="36">
        <f>N13*'Key Variables'!$C$18/12</f>
        <v>3472.2222222222226</v>
      </c>
      <c r="U30" s="36">
        <f>O13*'Key Variables'!$C$18/12</f>
        <v>3819.4444444444448</v>
      </c>
      <c r="V30" s="36">
        <f>P13*'Key Variables'!$C$18/12</f>
        <v>4166.666666666667</v>
      </c>
      <c r="W30" s="36">
        <f>Q13*'Key Variables'!$C$18/12</f>
        <v>4513.8888888888896</v>
      </c>
      <c r="X30" s="36">
        <f>R13*'Key Variables'!$C$18/12</f>
        <v>4861.1111111111122</v>
      </c>
      <c r="Y30" s="36">
        <f>S13*'Key Variables'!$C$18/12</f>
        <v>5208.3333333333358</v>
      </c>
      <c r="Z30" s="36">
        <f>T13*'Key Variables'!$C$18/12</f>
        <v>5555.5555555555575</v>
      </c>
      <c r="AA30" s="36">
        <f>U13*'Key Variables'!$C$18/12</f>
        <v>5902.7777777777801</v>
      </c>
      <c r="AB30" s="36">
        <f>V13*'Key Variables'!$C$18/12</f>
        <v>6250.0000000000027</v>
      </c>
      <c r="AC30" s="36">
        <f>W13*'Key Variables'!$C$18/12</f>
        <v>6597.2222222222254</v>
      </c>
      <c r="AD30" s="36">
        <f>X13*'Key Variables'!$C$18/12</f>
        <v>6944.4444444444462</v>
      </c>
      <c r="AE30" s="36">
        <f>Y13*'Key Variables'!$C$18/12</f>
        <v>7291.6666666666679</v>
      </c>
      <c r="AF30" s="36">
        <f>Z13*'Key Variables'!$C$18/12</f>
        <v>7725.6944444444462</v>
      </c>
      <c r="AG30" s="36">
        <f>AA13*'Key Variables'!$C$18/12</f>
        <v>8159.7222222222254</v>
      </c>
      <c r="AH30" s="36">
        <f>AB13*'Key Variables'!$C$18/12</f>
        <v>8593.7500000000055</v>
      </c>
      <c r="AI30" s="36">
        <f>AC13*'Key Variables'!$C$18/12</f>
        <v>9027.777777777781</v>
      </c>
      <c r="AJ30" s="36">
        <f>AD13*'Key Variables'!$C$18/12</f>
        <v>9461.8055555555602</v>
      </c>
      <c r="AK30" s="36">
        <f>AE13*'Key Variables'!$C$18/12</f>
        <v>9895.8333333333376</v>
      </c>
      <c r="AL30" s="36">
        <f>AF13*'Key Variables'!$C$18/12</f>
        <v>10329.861111111115</v>
      </c>
      <c r="AM30" s="36">
        <f>AG13*'Key Variables'!$C$18/12</f>
        <v>10763.888888888896</v>
      </c>
      <c r="AN30" s="36">
        <f>AH13*'Key Variables'!$C$18/12</f>
        <v>11197.916666666672</v>
      </c>
      <c r="AO30" s="36">
        <f>AI13*'Key Variables'!$C$18/12</f>
        <v>11631.944444444451</v>
      </c>
      <c r="AP30" s="36">
        <f>AJ13*'Key Variables'!$C$18/12</f>
        <v>12065.972222222228</v>
      </c>
      <c r="AQ30" s="36">
        <f>AK13*'Key Variables'!$C$18/12</f>
        <v>12500.000000000007</v>
      </c>
      <c r="AR30" s="36">
        <f>AL13*'Key Variables'!$C$18/12</f>
        <v>13020.833333333341</v>
      </c>
      <c r="AS30" s="36">
        <f>AM13*'Key Variables'!$C$18/12</f>
        <v>13541.666666666672</v>
      </c>
      <c r="AT30" s="36">
        <f>AN13*'Key Variables'!$C$18/12</f>
        <v>14062.500000000005</v>
      </c>
      <c r="AU30" s="36">
        <f>AO13*'Key Variables'!$C$18/12</f>
        <v>14583.333333333338</v>
      </c>
      <c r="AV30" s="36">
        <f>AP13*'Key Variables'!$C$18/12</f>
        <v>15104.166666666672</v>
      </c>
      <c r="AW30" s="36">
        <f>AQ13*'Key Variables'!$C$18/12</f>
        <v>15625.000000000005</v>
      </c>
      <c r="AX30" s="4">
        <f t="shared" si="38"/>
        <v>292187.50000000012</v>
      </c>
    </row>
    <row r="31" spans="1:50" s="21" customFormat="1" hidden="1" x14ac:dyDescent="0.25">
      <c r="A31" s="10" t="s">
        <v>129</v>
      </c>
      <c r="B31" s="36">
        <f>B14*'Key Variables'!$C$20/12</f>
        <v>208.33333333333334</v>
      </c>
      <c r="C31" s="36">
        <f>C14*'Key Variables'!$C$20/12</f>
        <v>416.66666666666669</v>
      </c>
      <c r="D31" s="36">
        <f>D14*'Key Variables'!$C$20/12</f>
        <v>625</v>
      </c>
      <c r="E31" s="36">
        <f>E14*'Key Variables'!$C$20/12</f>
        <v>833.33333333333337</v>
      </c>
      <c r="F31" s="36">
        <f>F14*'Key Variables'!$C$20/12</f>
        <v>1041.6666666666667</v>
      </c>
      <c r="G31" s="36">
        <f>G14*'Key Variables'!$C$20/12</f>
        <v>1250</v>
      </c>
      <c r="H31" s="36">
        <f>H14*'Key Variables'!$C$20/12</f>
        <v>1458.3333333333333</v>
      </c>
      <c r="I31" s="36">
        <f>I14*'Key Variables'!$C$20/12</f>
        <v>1666.6666666666667</v>
      </c>
      <c r="J31" s="36">
        <f>J14*'Key Variables'!$C$20/12</f>
        <v>1875</v>
      </c>
      <c r="K31" s="36">
        <f>K14*'Key Variables'!$C$20/12</f>
        <v>2083.3333333333335</v>
      </c>
      <c r="L31" s="36">
        <f>L14*'Key Variables'!$C$20/12</f>
        <v>2291.6666666666665</v>
      </c>
      <c r="M31" s="36">
        <f>M14*'Key Variables'!$C$20/12</f>
        <v>2500</v>
      </c>
      <c r="N31" s="36">
        <f>N14*'Key Variables'!$C$20/12</f>
        <v>2777.7777777777778</v>
      </c>
      <c r="O31" s="36">
        <f>O14*'Key Variables'!$C$20/12</f>
        <v>3055.5555555555561</v>
      </c>
      <c r="P31" s="36">
        <f>P14*'Key Variables'!$C$20/12</f>
        <v>3333.3333333333339</v>
      </c>
      <c r="Q31" s="36">
        <f>Q14*'Key Variables'!$C$20/12</f>
        <v>3611.1111111111118</v>
      </c>
      <c r="R31" s="36">
        <f>R14*'Key Variables'!$C$20/12</f>
        <v>3888.8888888888901</v>
      </c>
      <c r="S31" s="36">
        <f>S14*'Key Variables'!$C$20/12</f>
        <v>4166.6666666666688</v>
      </c>
      <c r="T31" s="36">
        <f>T14*'Key Variables'!$C$20/12</f>
        <v>4444.4444444444462</v>
      </c>
      <c r="U31" s="36">
        <f>U14*'Key Variables'!$C$20/12</f>
        <v>4722.2222222222235</v>
      </c>
      <c r="V31" s="36">
        <f>V14*'Key Variables'!$C$20/12</f>
        <v>5000.0000000000018</v>
      </c>
      <c r="W31" s="36">
        <f>W14*'Key Variables'!$C$20/12</f>
        <v>5277.7777777777801</v>
      </c>
      <c r="X31" s="36">
        <f>X14*'Key Variables'!$C$20/12</f>
        <v>5555.5555555555575</v>
      </c>
      <c r="Y31" s="36">
        <f>Y14*'Key Variables'!$C$20/12</f>
        <v>5833.3333333333348</v>
      </c>
      <c r="Z31" s="36">
        <f>Z14*'Key Variables'!$C$20/12</f>
        <v>6180.5555555555575</v>
      </c>
      <c r="AA31" s="36">
        <f>AA14*'Key Variables'!$C$20/12</f>
        <v>6527.7777777777801</v>
      </c>
      <c r="AB31" s="36">
        <f>AB14*'Key Variables'!$C$20/12</f>
        <v>6875.0000000000036</v>
      </c>
      <c r="AC31" s="36">
        <f>AC14*'Key Variables'!$C$20/12</f>
        <v>7222.2222222222254</v>
      </c>
      <c r="AD31" s="36">
        <f>AD14*'Key Variables'!$C$20/12</f>
        <v>7569.444444444448</v>
      </c>
      <c r="AE31" s="36">
        <f>AE14*'Key Variables'!$C$20/12</f>
        <v>7916.6666666666706</v>
      </c>
      <c r="AF31" s="36">
        <f>AF14*'Key Variables'!$C$20/12</f>
        <v>8263.8888888888923</v>
      </c>
      <c r="AG31" s="36">
        <f>AG14*'Key Variables'!$C$20/12</f>
        <v>8611.1111111111168</v>
      </c>
      <c r="AH31" s="36">
        <f>AH14*'Key Variables'!$C$20/12</f>
        <v>8958.3333333333376</v>
      </c>
      <c r="AI31" s="36">
        <f>AI14*'Key Variables'!$C$20/12</f>
        <v>9305.5555555555602</v>
      </c>
      <c r="AJ31" s="36">
        <f>AJ14*'Key Variables'!$C$20/12</f>
        <v>9652.7777777777828</v>
      </c>
      <c r="AK31" s="36">
        <f>AK14*'Key Variables'!$C$20/12</f>
        <v>10000.000000000005</v>
      </c>
      <c r="AL31" s="36">
        <f>AL14*'Key Variables'!$C$20/12</f>
        <v>10416.666666666673</v>
      </c>
      <c r="AM31" s="36">
        <f>AM14*'Key Variables'!$C$20/12</f>
        <v>10833.333333333338</v>
      </c>
      <c r="AN31" s="36">
        <f>AN14*'Key Variables'!$C$20/12</f>
        <v>11250.000000000005</v>
      </c>
      <c r="AO31" s="36">
        <f>AO14*'Key Variables'!$C$20/12</f>
        <v>11666.666666666672</v>
      </c>
      <c r="AP31" s="36">
        <f>AP14*'Key Variables'!$C$20/12</f>
        <v>12083.333333333338</v>
      </c>
      <c r="AQ31" s="36">
        <f>AQ14*'Key Variables'!$C$20/12</f>
        <v>12500.000000000005</v>
      </c>
      <c r="AR31" s="36">
        <f>AR14*'Key Variables'!$C$20/12</f>
        <v>12916.666666666672</v>
      </c>
      <c r="AS31" s="36">
        <f>AS14*'Key Variables'!$C$20/12</f>
        <v>13333.333333333338</v>
      </c>
      <c r="AT31" s="36">
        <f>AT14*'Key Variables'!$C$20/12</f>
        <v>13750.000000000007</v>
      </c>
      <c r="AU31" s="36">
        <f>AU14*'Key Variables'!$C$20/12</f>
        <v>14166.666666666673</v>
      </c>
      <c r="AV31" s="36">
        <f>AV14*'Key Variables'!$C$20/12</f>
        <v>14583.333333333341</v>
      </c>
      <c r="AW31" s="36">
        <f>AW14*'Key Variables'!$C$20/12</f>
        <v>15000.000000000007</v>
      </c>
      <c r="AX31" s="4">
        <f t="shared" si="38"/>
        <v>317500.00000000012</v>
      </c>
    </row>
    <row r="32" spans="1:50" s="21" customFormat="1" hidden="1" x14ac:dyDescent="0.25">
      <c r="A32" s="10" t="s">
        <v>240</v>
      </c>
      <c r="B32" s="36">
        <f>B20*'Key Variables'!$K$2</f>
        <v>781.25</v>
      </c>
      <c r="C32" s="36">
        <f>C20*'Key Variables'!$K$2</f>
        <v>1562.5</v>
      </c>
      <c r="D32" s="36">
        <f>D20*'Key Variables'!$K$2</f>
        <v>2343.75</v>
      </c>
      <c r="E32" s="36">
        <f>E20*'Key Variables'!$K$2</f>
        <v>3125</v>
      </c>
      <c r="F32" s="36">
        <f>F20*'Key Variables'!$K$2</f>
        <v>3906.25</v>
      </c>
      <c r="G32" s="36">
        <f>G20*'Key Variables'!$K$2</f>
        <v>4687.5</v>
      </c>
      <c r="H32" s="36">
        <f>H20*'Key Variables'!$K$2</f>
        <v>5468.75</v>
      </c>
      <c r="I32" s="36">
        <f>I20*'Key Variables'!$K$2</f>
        <v>6250</v>
      </c>
      <c r="J32" s="36">
        <f>J20*'Key Variables'!$K$2</f>
        <v>7031.25</v>
      </c>
      <c r="K32" s="36">
        <f>K20*'Key Variables'!$K$2</f>
        <v>7812.5</v>
      </c>
      <c r="L32" s="36">
        <f>L20*'Key Variables'!$K$2</f>
        <v>8593.75</v>
      </c>
      <c r="M32" s="36">
        <f>M20*'Key Variables'!$K$2</f>
        <v>9375</v>
      </c>
      <c r="N32" s="36">
        <f>N20*'Key Variables'!$K$2</f>
        <v>10416.666666666668</v>
      </c>
      <c r="O32" s="36">
        <f>O20*'Key Variables'!$K$2</f>
        <v>11458.333333333334</v>
      </c>
      <c r="P32" s="36">
        <f>P20*'Key Variables'!$K$2</f>
        <v>12500.000000000004</v>
      </c>
      <c r="Q32" s="36">
        <f>Q20*'Key Variables'!$K$2</f>
        <v>13541.666666666668</v>
      </c>
      <c r="R32" s="36">
        <f>R20*'Key Variables'!$K$2</f>
        <v>14583.333333333338</v>
      </c>
      <c r="S32" s="36">
        <f>S20*'Key Variables'!$K$2</f>
        <v>15625.000000000005</v>
      </c>
      <c r="T32" s="36">
        <f>T20*'Key Variables'!$K$2</f>
        <v>16666.666666666672</v>
      </c>
      <c r="U32" s="36">
        <f>U20*'Key Variables'!$K$2</f>
        <v>17708.333333333339</v>
      </c>
      <c r="V32" s="36">
        <f>V20*'Key Variables'!$K$2</f>
        <v>18750.000000000007</v>
      </c>
      <c r="W32" s="36">
        <f>W20*'Key Variables'!$K$2</f>
        <v>19791.666666666675</v>
      </c>
      <c r="X32" s="36">
        <f>X20*'Key Variables'!$K$2</f>
        <v>20833.333333333339</v>
      </c>
      <c r="Y32" s="36">
        <f>Y20*'Key Variables'!$K$2</f>
        <v>21875.000000000007</v>
      </c>
      <c r="Z32" s="36">
        <f>Z20*'Key Variables'!$K$2</f>
        <v>23177.083333333339</v>
      </c>
      <c r="AA32" s="36">
        <f>AA20*'Key Variables'!$K$2</f>
        <v>24479.166666666675</v>
      </c>
      <c r="AB32" s="36">
        <f>AB20*'Key Variables'!$K$2</f>
        <v>25781.250000000011</v>
      </c>
      <c r="AC32" s="36">
        <f>AC20*'Key Variables'!$K$2</f>
        <v>27083.333333333343</v>
      </c>
      <c r="AD32" s="36">
        <f>AD20*'Key Variables'!$K$2</f>
        <v>28385.416666666679</v>
      </c>
      <c r="AE32" s="36">
        <f>AE20*'Key Variables'!$K$2</f>
        <v>29687.500000000011</v>
      </c>
      <c r="AF32" s="36">
        <f>AF20*'Key Variables'!$K$2</f>
        <v>30989.58333333335</v>
      </c>
      <c r="AG32" s="36">
        <f>AG20*'Key Variables'!$K$2</f>
        <v>32291.666666666686</v>
      </c>
      <c r="AH32" s="36">
        <f>AH20*'Key Variables'!$K$2</f>
        <v>33593.750000000015</v>
      </c>
      <c r="AI32" s="36">
        <f>AI20*'Key Variables'!$K$2</f>
        <v>34895.833333333358</v>
      </c>
      <c r="AJ32" s="36">
        <f>AJ20*'Key Variables'!$K$2</f>
        <v>36197.916666666686</v>
      </c>
      <c r="AK32" s="36">
        <f>AK20*'Key Variables'!$K$2</f>
        <v>37500.000000000022</v>
      </c>
      <c r="AL32" s="36">
        <f>AL20*'Key Variables'!$K$2</f>
        <v>39062.500000000022</v>
      </c>
      <c r="AM32" s="36">
        <f>AM20*'Key Variables'!$K$2</f>
        <v>40625.000000000015</v>
      </c>
      <c r="AN32" s="36">
        <f>AN20*'Key Variables'!$K$2</f>
        <v>42187.500000000015</v>
      </c>
      <c r="AO32" s="36">
        <f>AO20*'Key Variables'!$K$2</f>
        <v>43750.000000000015</v>
      </c>
      <c r="AP32" s="36">
        <f>AP20*'Key Variables'!$K$2</f>
        <v>45312.500000000015</v>
      </c>
      <c r="AQ32" s="36">
        <f>AQ20*'Key Variables'!$K$2</f>
        <v>46875.000000000015</v>
      </c>
      <c r="AR32" s="36">
        <f>AR20*'Key Variables'!$K$2</f>
        <v>48437.500000000015</v>
      </c>
      <c r="AS32" s="36">
        <f>AS20*'Key Variables'!$K$2</f>
        <v>50000.000000000015</v>
      </c>
      <c r="AT32" s="36">
        <f>AT20*'Key Variables'!$K$2</f>
        <v>51562.500000000022</v>
      </c>
      <c r="AU32" s="36">
        <f>AU20*'Key Variables'!$K$2</f>
        <v>53125.000000000022</v>
      </c>
      <c r="AV32" s="36">
        <f>AV20*'Key Variables'!$K$2</f>
        <v>54687.500000000022</v>
      </c>
      <c r="AW32" s="36">
        <f>AW20*'Key Variables'!$K$2</f>
        <v>56250.000000000022</v>
      </c>
      <c r="AX32" s="4">
        <f t="shared" si="38"/>
        <v>1190625.0000000002</v>
      </c>
    </row>
    <row r="33" spans="1:51" s="21" customFormat="1" hidden="1" x14ac:dyDescent="0.25">
      <c r="A33" s="10" t="s">
        <v>241</v>
      </c>
      <c r="B33" s="36">
        <f>B21*'Key Variables'!$G$8</f>
        <v>609.375</v>
      </c>
      <c r="C33" s="36">
        <f>C21*'Key Variables'!$G$8</f>
        <v>1218.75</v>
      </c>
      <c r="D33" s="36">
        <f>D21*'Key Variables'!$G$8</f>
        <v>1828.125</v>
      </c>
      <c r="E33" s="36">
        <f>E21*'Key Variables'!$G$8</f>
        <v>2437.5</v>
      </c>
      <c r="F33" s="36">
        <f>F21*'Key Variables'!$G$8</f>
        <v>3046.875</v>
      </c>
      <c r="G33" s="36">
        <f>G21*'Key Variables'!$G$8</f>
        <v>3656.25</v>
      </c>
      <c r="H33" s="36">
        <f>H21*'Key Variables'!$G$8</f>
        <v>4265.625</v>
      </c>
      <c r="I33" s="36">
        <f>I21*'Key Variables'!$G$8</f>
        <v>4875</v>
      </c>
      <c r="J33" s="36">
        <f>J21*'Key Variables'!$G$8</f>
        <v>5484.375</v>
      </c>
      <c r="K33" s="36">
        <f>K21*'Key Variables'!$G$8</f>
        <v>6093.75</v>
      </c>
      <c r="L33" s="36">
        <f>L21*'Key Variables'!$G$8</f>
        <v>6703.125</v>
      </c>
      <c r="M33" s="36">
        <f>M21*'Key Variables'!$G$8</f>
        <v>7312.5</v>
      </c>
      <c r="N33" s="36">
        <f>N21*'Key Variables'!$G$8</f>
        <v>8125.0000000000009</v>
      </c>
      <c r="O33" s="36">
        <f>O21*'Key Variables'!$G$8</f>
        <v>8937.5000000000018</v>
      </c>
      <c r="P33" s="36">
        <f>P21*'Key Variables'!$G$8</f>
        <v>9750.0000000000018</v>
      </c>
      <c r="Q33" s="36">
        <f>Q21*'Key Variables'!$G$8</f>
        <v>10562.500000000002</v>
      </c>
      <c r="R33" s="36">
        <f>R21*'Key Variables'!$G$8</f>
        <v>11375.000000000004</v>
      </c>
      <c r="S33" s="36">
        <f>S21*'Key Variables'!$G$8</f>
        <v>12187.500000000005</v>
      </c>
      <c r="T33" s="36">
        <f>T21*'Key Variables'!$G$8</f>
        <v>13000.000000000004</v>
      </c>
      <c r="U33" s="36">
        <f>U21*'Key Variables'!$G$8</f>
        <v>13812.500000000004</v>
      </c>
      <c r="V33" s="36">
        <f>V21*'Key Variables'!$G$8</f>
        <v>14625.000000000005</v>
      </c>
      <c r="W33" s="36">
        <f>W21*'Key Variables'!$G$8</f>
        <v>15437.500000000005</v>
      </c>
      <c r="X33" s="36">
        <f>X21*'Key Variables'!$G$8</f>
        <v>16250.000000000004</v>
      </c>
      <c r="Y33" s="36">
        <f>Y21*'Key Variables'!$G$8</f>
        <v>17062.500000000004</v>
      </c>
      <c r="Z33" s="36">
        <f>Z21*'Key Variables'!$G$8</f>
        <v>18078.125000000004</v>
      </c>
      <c r="AA33" s="36">
        <f>AA21*'Key Variables'!$G$8</f>
        <v>19093.750000000007</v>
      </c>
      <c r="AB33" s="36">
        <f>AB21*'Key Variables'!$G$8</f>
        <v>20109.375000000011</v>
      </c>
      <c r="AC33" s="36">
        <f>AC21*'Key Variables'!$G$8</f>
        <v>21125.000000000007</v>
      </c>
      <c r="AD33" s="36">
        <f>AD21*'Key Variables'!$G$8</f>
        <v>22140.625000000007</v>
      </c>
      <c r="AE33" s="36">
        <f>AE21*'Key Variables'!$G$8</f>
        <v>23156.250000000011</v>
      </c>
      <c r="AF33" s="36">
        <f>AF21*'Key Variables'!$G$8</f>
        <v>24171.875000000011</v>
      </c>
      <c r="AG33" s="36">
        <f>AG21*'Key Variables'!$G$8</f>
        <v>25187.500000000015</v>
      </c>
      <c r="AH33" s="36">
        <f>AH21*'Key Variables'!$G$8</f>
        <v>26203.125000000015</v>
      </c>
      <c r="AI33" s="36">
        <f>AI21*'Key Variables'!$G$8</f>
        <v>27218.750000000015</v>
      </c>
      <c r="AJ33" s="36">
        <f>AJ21*'Key Variables'!$G$8</f>
        <v>28234.375000000015</v>
      </c>
      <c r="AK33" s="36">
        <f>AK21*'Key Variables'!$G$8</f>
        <v>29250.000000000018</v>
      </c>
      <c r="AL33" s="36">
        <f>AL21*'Key Variables'!$G$8</f>
        <v>30468.750000000018</v>
      </c>
      <c r="AM33" s="36">
        <f>AM21*'Key Variables'!$G$8</f>
        <v>31687.500000000015</v>
      </c>
      <c r="AN33" s="36">
        <f>AN21*'Key Variables'!$G$8</f>
        <v>32906.250000000015</v>
      </c>
      <c r="AO33" s="36">
        <f>AO21*'Key Variables'!$G$8</f>
        <v>34125.000000000015</v>
      </c>
      <c r="AP33" s="36">
        <f>AP21*'Key Variables'!$G$8</f>
        <v>35343.750000000015</v>
      </c>
      <c r="AQ33" s="36">
        <f>AQ21*'Key Variables'!$G$8</f>
        <v>36562.500000000015</v>
      </c>
      <c r="AR33" s="36">
        <f>AR21*'Key Variables'!$G$8</f>
        <v>37781.250000000015</v>
      </c>
      <c r="AS33" s="36">
        <f>AS21*'Key Variables'!$G$8</f>
        <v>39000.000000000015</v>
      </c>
      <c r="AT33" s="36">
        <f>AT21*'Key Variables'!$G$8</f>
        <v>40218.750000000022</v>
      </c>
      <c r="AU33" s="36">
        <f>AU21*'Key Variables'!$G$8</f>
        <v>41437.500000000022</v>
      </c>
      <c r="AV33" s="36">
        <f>AV21*'Key Variables'!$G$8</f>
        <v>42656.250000000022</v>
      </c>
      <c r="AW33" s="36">
        <f>AW21*'Key Variables'!$G$8</f>
        <v>43875.000000000022</v>
      </c>
      <c r="AX33" s="4">
        <f t="shared" si="38"/>
        <v>928687.5</v>
      </c>
    </row>
    <row r="34" spans="1:51" s="21" customFormat="1" hidden="1" x14ac:dyDescent="0.25">
      <c r="A34" s="10"/>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4"/>
    </row>
    <row r="35" spans="1:51" hidden="1" x14ac:dyDescent="0.25">
      <c r="A35" s="10" t="s">
        <v>130</v>
      </c>
      <c r="B35" s="36">
        <f>B26*(1-'Key Variables'!$C$30)</f>
        <v>16250</v>
      </c>
      <c r="C35" s="36">
        <f>C26*(1-'Key Variables'!$C$30)</f>
        <v>16250</v>
      </c>
      <c r="D35" s="36">
        <f>D26*(1-'Key Variables'!$C$30)</f>
        <v>16250</v>
      </c>
      <c r="E35" s="36">
        <f>E26*(1-'Key Variables'!$C$30)</f>
        <v>16250</v>
      </c>
      <c r="F35" s="36">
        <f>F26*(1-'Key Variables'!$C$30)</f>
        <v>16250</v>
      </c>
      <c r="G35" s="36">
        <f>G26*(1-'Key Variables'!$C$30)</f>
        <v>16250</v>
      </c>
      <c r="H35" s="36">
        <f>H26*(1-'Key Variables'!$C$30)</f>
        <v>16250</v>
      </c>
      <c r="I35" s="36">
        <f>I26*(1-'Key Variables'!$C$30)</f>
        <v>16250</v>
      </c>
      <c r="J35" s="36">
        <f>J26*(1-'Key Variables'!$C$30)</f>
        <v>16250</v>
      </c>
      <c r="K35" s="36">
        <f>K26*(1-'Key Variables'!$C$30)</f>
        <v>16250</v>
      </c>
      <c r="L35" s="36">
        <f>L26*(1-'Key Variables'!$C$30)</f>
        <v>16250</v>
      </c>
      <c r="M35" s="36">
        <f>M26*(1-'Key Variables'!$C$30)</f>
        <v>16250</v>
      </c>
      <c r="N35" s="36">
        <f>N26*(1-'Key Variables'!$C$30)</f>
        <v>21666.666666666668</v>
      </c>
      <c r="O35" s="36">
        <f>O26*(1-'Key Variables'!$C$30)</f>
        <v>21666.666666666668</v>
      </c>
      <c r="P35" s="36">
        <f>P26*(1-'Key Variables'!$C$30)</f>
        <v>21666.666666666668</v>
      </c>
      <c r="Q35" s="36">
        <f>Q26*(1-'Key Variables'!$C$30)</f>
        <v>21666.666666666668</v>
      </c>
      <c r="R35" s="36">
        <f>R26*(1-'Key Variables'!$C$30)</f>
        <v>21666.666666666668</v>
      </c>
      <c r="S35" s="36">
        <f>S26*(1-'Key Variables'!$C$30)</f>
        <v>21666.666666666668</v>
      </c>
      <c r="T35" s="36">
        <f>T26*(1-'Key Variables'!$C$30)</f>
        <v>21666.666666666668</v>
      </c>
      <c r="U35" s="36">
        <f>U26*(1-'Key Variables'!$C$30)</f>
        <v>21666.666666666668</v>
      </c>
      <c r="V35" s="36">
        <f>V26*(1-'Key Variables'!$C$30)</f>
        <v>21666.666666666668</v>
      </c>
      <c r="W35" s="36">
        <f>W26*(1-'Key Variables'!$C$30)</f>
        <v>21666.666666666668</v>
      </c>
      <c r="X35" s="36">
        <f>X26*(1-'Key Variables'!$C$30)</f>
        <v>21666.666666666668</v>
      </c>
      <c r="Y35" s="36">
        <f>Y26*(1-'Key Variables'!$C$30)</f>
        <v>21666.666666666668</v>
      </c>
      <c r="Z35" s="36">
        <f>Z26*(1-'Key Variables'!$C$30)</f>
        <v>27083.333333333336</v>
      </c>
      <c r="AA35" s="36">
        <f>AA26*(1-'Key Variables'!$C$30)</f>
        <v>27083.333333333336</v>
      </c>
      <c r="AB35" s="36">
        <f>AB26*(1-'Key Variables'!$C$30)</f>
        <v>27083.333333333336</v>
      </c>
      <c r="AC35" s="36">
        <f>AC26*(1-'Key Variables'!$C$30)</f>
        <v>27083.333333333336</v>
      </c>
      <c r="AD35" s="36">
        <f>AD26*(1-'Key Variables'!$C$30)</f>
        <v>27083.333333333336</v>
      </c>
      <c r="AE35" s="36">
        <f>AE26*(1-'Key Variables'!$C$30)</f>
        <v>27083.333333333336</v>
      </c>
      <c r="AF35" s="36">
        <f>AF26*(1-'Key Variables'!$C$30)</f>
        <v>27083.333333333336</v>
      </c>
      <c r="AG35" s="36">
        <f>AG26*(1-'Key Variables'!$C$30)</f>
        <v>27083.333333333336</v>
      </c>
      <c r="AH35" s="36">
        <f>AH26*(1-'Key Variables'!$C$30)</f>
        <v>27083.333333333336</v>
      </c>
      <c r="AI35" s="36">
        <f>AI26*(1-'Key Variables'!$C$30)</f>
        <v>27083.333333333336</v>
      </c>
      <c r="AJ35" s="36">
        <f>AJ26*(1-'Key Variables'!$C$30)</f>
        <v>27083.333333333336</v>
      </c>
      <c r="AK35" s="36">
        <f>AK26*(1-'Key Variables'!$C$30)</f>
        <v>27083.333333333336</v>
      </c>
      <c r="AL35" s="36">
        <f>AL26*(1-'Key Variables'!$C$30)</f>
        <v>32500</v>
      </c>
      <c r="AM35" s="36">
        <f>AM26*(1-'Key Variables'!$C$30)</f>
        <v>32500</v>
      </c>
      <c r="AN35" s="36">
        <f>AN26*(1-'Key Variables'!$C$30)</f>
        <v>32500</v>
      </c>
      <c r="AO35" s="36">
        <f>AO26*(1-'Key Variables'!$C$30)</f>
        <v>32500</v>
      </c>
      <c r="AP35" s="36">
        <f>AP26*(1-'Key Variables'!$C$30)</f>
        <v>32500</v>
      </c>
      <c r="AQ35" s="36">
        <f>AQ26*(1-'Key Variables'!$C$30)</f>
        <v>32500</v>
      </c>
      <c r="AR35" s="36">
        <f>AR26*(1-'Key Variables'!$C$30)</f>
        <v>32500</v>
      </c>
      <c r="AS35" s="36">
        <f>AS26*(1-'Key Variables'!$C$30)</f>
        <v>32500</v>
      </c>
      <c r="AT35" s="36">
        <f>AT26*(1-'Key Variables'!$C$30)</f>
        <v>32500</v>
      </c>
      <c r="AU35" s="36">
        <f>AU26*(1-'Key Variables'!$C$30)</f>
        <v>32500</v>
      </c>
      <c r="AV35" s="36">
        <f>AV26*(1-'Key Variables'!$C$30)</f>
        <v>32500</v>
      </c>
      <c r="AW35" s="36">
        <f>AW26*(1-'Key Variables'!$C$30)</f>
        <v>32500</v>
      </c>
      <c r="AX35" s="4">
        <f t="shared" si="38"/>
        <v>1170000.0000000005</v>
      </c>
      <c r="AY35" s="61">
        <f>1-(AX35/AX26)</f>
        <v>0.34999999999999976</v>
      </c>
    </row>
    <row r="36" spans="1:51" hidden="1" x14ac:dyDescent="0.25">
      <c r="A36" s="10" t="s">
        <v>131</v>
      </c>
      <c r="B36" s="36">
        <f>B27*(1-'Key Variables'!$C$32)</f>
        <v>16.40625</v>
      </c>
      <c r="C36" s="36">
        <f>C27*(1-'Key Variables'!$C$32)</f>
        <v>32.8125</v>
      </c>
      <c r="D36" s="36">
        <f>D27*(1-'Key Variables'!$C$32)</f>
        <v>49.21875</v>
      </c>
      <c r="E36" s="36">
        <f>E27*(1-'Key Variables'!$C$32)</f>
        <v>65.625</v>
      </c>
      <c r="F36" s="36">
        <f>F27*(1-'Key Variables'!$C$32)</f>
        <v>82.03125</v>
      </c>
      <c r="G36" s="36">
        <f>G27*(1-'Key Variables'!$C$32)</f>
        <v>98.4375</v>
      </c>
      <c r="H36" s="36">
        <f>H27*(1-'Key Variables'!$C$32)</f>
        <v>114.84374999999999</v>
      </c>
      <c r="I36" s="36">
        <f>I27*(1-'Key Variables'!$C$32)</f>
        <v>131.25</v>
      </c>
      <c r="J36" s="36">
        <f>J27*(1-'Key Variables'!$C$32)</f>
        <v>147.65625</v>
      </c>
      <c r="K36" s="36">
        <f>K27*(1-'Key Variables'!$C$32)</f>
        <v>164.0625</v>
      </c>
      <c r="L36" s="36">
        <f>L27*(1-'Key Variables'!$C$32)</f>
        <v>180.46875</v>
      </c>
      <c r="M36" s="36">
        <f>M27*(1-'Key Variables'!$C$32)</f>
        <v>196.875</v>
      </c>
      <c r="N36" s="36">
        <f>N27*(1-'Key Variables'!$C$32)</f>
        <v>218.75000000000003</v>
      </c>
      <c r="O36" s="36">
        <f>O27*(1-'Key Variables'!$C$32)</f>
        <v>240.62500000000003</v>
      </c>
      <c r="P36" s="36">
        <f>P27*(1-'Key Variables'!$C$32)</f>
        <v>262.5</v>
      </c>
      <c r="Q36" s="36">
        <f>Q27*(1-'Key Variables'!$C$32)</f>
        <v>284.37500000000006</v>
      </c>
      <c r="R36" s="36">
        <f>R27*(1-'Key Variables'!$C$32)</f>
        <v>306.25000000000011</v>
      </c>
      <c r="S36" s="36">
        <f>S27*(1-'Key Variables'!$C$32)</f>
        <v>328.12500000000011</v>
      </c>
      <c r="T36" s="36">
        <f>T27*(1-'Key Variables'!$C$32)</f>
        <v>350.00000000000006</v>
      </c>
      <c r="U36" s="36">
        <f>U27*(1-'Key Variables'!$C$32)</f>
        <v>371.87500000000006</v>
      </c>
      <c r="V36" s="36">
        <f>V27*(1-'Key Variables'!$C$32)</f>
        <v>393.75000000000011</v>
      </c>
      <c r="W36" s="36">
        <f>W27*(1-'Key Variables'!$C$32)</f>
        <v>415.62500000000011</v>
      </c>
      <c r="X36" s="36">
        <f>X27*(1-'Key Variables'!$C$32)</f>
        <v>437.50000000000006</v>
      </c>
      <c r="Y36" s="36">
        <f>Y27*(1-'Key Variables'!$C$32)</f>
        <v>459.37500000000006</v>
      </c>
      <c r="Z36" s="36">
        <f>Z27*(1-'Key Variables'!$C$32)</f>
        <v>486.71875000000006</v>
      </c>
      <c r="AA36" s="36">
        <f>AA27*(1-'Key Variables'!$C$32)</f>
        <v>514.06250000000023</v>
      </c>
      <c r="AB36" s="36">
        <f>AB27*(1-'Key Variables'!$C$32)</f>
        <v>541.40625000000023</v>
      </c>
      <c r="AC36" s="36">
        <f>AC27*(1-'Key Variables'!$C$32)</f>
        <v>568.75000000000023</v>
      </c>
      <c r="AD36" s="36">
        <f>AD27*(1-'Key Variables'!$C$32)</f>
        <v>596.09375000000023</v>
      </c>
      <c r="AE36" s="36">
        <f>AE27*(1-'Key Variables'!$C$32)</f>
        <v>623.43750000000023</v>
      </c>
      <c r="AF36" s="36">
        <f>AF27*(1-'Key Variables'!$C$32)</f>
        <v>650.78125000000023</v>
      </c>
      <c r="AG36" s="36">
        <f>AG27*(1-'Key Variables'!$C$32)</f>
        <v>678.12500000000023</v>
      </c>
      <c r="AH36" s="36">
        <f>AH27*(1-'Key Variables'!$C$32)</f>
        <v>705.46875000000045</v>
      </c>
      <c r="AI36" s="36">
        <f>AI27*(1-'Key Variables'!$C$32)</f>
        <v>732.81250000000045</v>
      </c>
      <c r="AJ36" s="36">
        <f>AJ27*(1-'Key Variables'!$C$32)</f>
        <v>760.15625000000045</v>
      </c>
      <c r="AK36" s="36">
        <f>AK27*(1-'Key Variables'!$C$32)</f>
        <v>787.50000000000045</v>
      </c>
      <c r="AL36" s="36">
        <f>AL27*(1-'Key Variables'!$C$32)</f>
        <v>820.31250000000045</v>
      </c>
      <c r="AM36" s="36">
        <f>AM27*(1-'Key Variables'!$C$32)</f>
        <v>853.12500000000045</v>
      </c>
      <c r="AN36" s="36">
        <f>AN27*(1-'Key Variables'!$C$32)</f>
        <v>885.93750000000045</v>
      </c>
      <c r="AO36" s="36">
        <f>AO27*(1-'Key Variables'!$C$32)</f>
        <v>918.75000000000045</v>
      </c>
      <c r="AP36" s="36">
        <f>AP27*(1-'Key Variables'!$C$32)</f>
        <v>951.56250000000045</v>
      </c>
      <c r="AQ36" s="36">
        <f>AQ27*(1-'Key Variables'!$C$32)</f>
        <v>984.37500000000045</v>
      </c>
      <c r="AR36" s="36">
        <f>AR27*(1-'Key Variables'!$C$32)</f>
        <v>1017.1875000000005</v>
      </c>
      <c r="AS36" s="36">
        <f>AS27*(1-'Key Variables'!$C$32)</f>
        <v>1050.0000000000005</v>
      </c>
      <c r="AT36" s="36">
        <f>AT27*(1-'Key Variables'!$C$32)</f>
        <v>1082.8125000000005</v>
      </c>
      <c r="AU36" s="36">
        <f>AU27*(1-'Key Variables'!$C$32)</f>
        <v>1115.6250000000005</v>
      </c>
      <c r="AV36" s="36">
        <f>AV27*(1-'Key Variables'!$C$32)</f>
        <v>1148.4375000000005</v>
      </c>
      <c r="AW36" s="36">
        <f>AW27*(1-'Key Variables'!$C$32)</f>
        <v>1181.2500000000005</v>
      </c>
      <c r="AX36" s="4">
        <f t="shared" si="38"/>
        <v>25003.125</v>
      </c>
      <c r="AY36" s="61">
        <f>1-(AX36/AX27)</f>
        <v>0.65</v>
      </c>
    </row>
    <row r="37" spans="1:51" hidden="1" x14ac:dyDescent="0.25">
      <c r="A37" s="10" t="s">
        <v>132</v>
      </c>
      <c r="B37" s="36">
        <f>B28*(1-'Key Variables'!$C$31)</f>
        <v>1117.1875</v>
      </c>
      <c r="C37" s="36">
        <f>C28*(1-'Key Variables'!$C$31)</f>
        <v>2234.375</v>
      </c>
      <c r="D37" s="36">
        <f>D28*(1-'Key Variables'!$C$31)</f>
        <v>3351.5625000000005</v>
      </c>
      <c r="E37" s="36">
        <f>E28*(1-'Key Variables'!$C$31)</f>
        <v>4468.75</v>
      </c>
      <c r="F37" s="36">
        <f>F28*(1-'Key Variables'!$C$31)</f>
        <v>5585.9375</v>
      </c>
      <c r="G37" s="36">
        <f>G28*(1-'Key Variables'!$C$31)</f>
        <v>6703.1250000000009</v>
      </c>
      <c r="H37" s="36">
        <f>H28*(1-'Key Variables'!$C$31)</f>
        <v>7820.3125000000009</v>
      </c>
      <c r="I37" s="36">
        <f>I28*(1-'Key Variables'!$C$31)</f>
        <v>8937.5</v>
      </c>
      <c r="J37" s="36">
        <f>J28*(1-'Key Variables'!$C$31)</f>
        <v>10054.6875</v>
      </c>
      <c r="K37" s="36">
        <f>K28*(1-'Key Variables'!$C$31)</f>
        <v>11171.875</v>
      </c>
      <c r="L37" s="36">
        <f>L28*(1-'Key Variables'!$C$31)</f>
        <v>12289.062500000002</v>
      </c>
      <c r="M37" s="36">
        <f>M28*(1-'Key Variables'!$C$31)</f>
        <v>13406.250000000002</v>
      </c>
      <c r="N37" s="36">
        <f>N28*(1-'Key Variables'!$C$31)</f>
        <v>14895.833333333336</v>
      </c>
      <c r="O37" s="36">
        <f>O28*(1-'Key Variables'!$C$31)</f>
        <v>16385.416666666668</v>
      </c>
      <c r="P37" s="36">
        <f>P28*(1-'Key Variables'!$C$31)</f>
        <v>17875.000000000004</v>
      </c>
      <c r="Q37" s="36">
        <f>Q28*(1-'Key Variables'!$C$31)</f>
        <v>19364.583333333336</v>
      </c>
      <c r="R37" s="36">
        <f>R28*(1-'Key Variables'!$C$31)</f>
        <v>20854.166666666675</v>
      </c>
      <c r="S37" s="36">
        <f>S28*(1-'Key Variables'!$C$31)</f>
        <v>22343.750000000011</v>
      </c>
      <c r="T37" s="36">
        <f>T28*(1-'Key Variables'!$C$31)</f>
        <v>23833.333333333339</v>
      </c>
      <c r="U37" s="36">
        <f>U28*(1-'Key Variables'!$C$31)</f>
        <v>25322.916666666679</v>
      </c>
      <c r="V37" s="36">
        <f>V28*(1-'Key Variables'!$C$31)</f>
        <v>26812.500000000011</v>
      </c>
      <c r="W37" s="36">
        <f>W28*(1-'Key Variables'!$C$31)</f>
        <v>28302.083333333347</v>
      </c>
      <c r="X37" s="36">
        <f>X28*(1-'Key Variables'!$C$31)</f>
        <v>29791.666666666679</v>
      </c>
      <c r="Y37" s="36">
        <f>Y28*(1-'Key Variables'!$C$31)</f>
        <v>31281.250000000011</v>
      </c>
      <c r="Z37" s="36">
        <f>Z28*(1-'Key Variables'!$C$31)</f>
        <v>33143.229166666679</v>
      </c>
      <c r="AA37" s="36">
        <f>AA28*(1-'Key Variables'!$C$31)</f>
        <v>35005.208333333343</v>
      </c>
      <c r="AB37" s="36">
        <f>AB28*(1-'Key Variables'!$C$31)</f>
        <v>36867.187500000022</v>
      </c>
      <c r="AC37" s="36">
        <f>AC28*(1-'Key Variables'!$C$31)</f>
        <v>38729.166666666679</v>
      </c>
      <c r="AD37" s="36">
        <f>AD28*(1-'Key Variables'!$C$31)</f>
        <v>40591.145833333358</v>
      </c>
      <c r="AE37" s="36">
        <f>AE28*(1-'Key Variables'!$C$31)</f>
        <v>42453.125000000022</v>
      </c>
      <c r="AF37" s="36">
        <f>AF28*(1-'Key Variables'!$C$31)</f>
        <v>44315.104166666686</v>
      </c>
      <c r="AG37" s="36">
        <f>AG28*(1-'Key Variables'!$C$31)</f>
        <v>46177.083333333365</v>
      </c>
      <c r="AH37" s="36">
        <f>AH28*(1-'Key Variables'!$C$31)</f>
        <v>48039.062500000029</v>
      </c>
      <c r="AI37" s="36">
        <f>AI28*(1-'Key Variables'!$C$31)</f>
        <v>49901.041666666701</v>
      </c>
      <c r="AJ37" s="36">
        <f>AJ28*(1-'Key Variables'!$C$31)</f>
        <v>51763.020833333365</v>
      </c>
      <c r="AK37" s="36">
        <f>AK28*(1-'Key Variables'!$C$31)</f>
        <v>53625.000000000036</v>
      </c>
      <c r="AL37" s="36">
        <f>AL28*(1-'Key Variables'!$C$31)</f>
        <v>55859.375000000036</v>
      </c>
      <c r="AM37" s="36">
        <f>AM28*(1-'Key Variables'!$C$31)</f>
        <v>58093.750000000029</v>
      </c>
      <c r="AN37" s="36">
        <f>AN28*(1-'Key Variables'!$C$31)</f>
        <v>60328.125000000029</v>
      </c>
      <c r="AO37" s="36">
        <f>AO28*(1-'Key Variables'!$C$31)</f>
        <v>62562.500000000029</v>
      </c>
      <c r="AP37" s="36">
        <f>AP28*(1-'Key Variables'!$C$31)</f>
        <v>64796.875000000029</v>
      </c>
      <c r="AQ37" s="36">
        <f>AQ28*(1-'Key Variables'!$C$31)</f>
        <v>67031.250000000029</v>
      </c>
      <c r="AR37" s="36">
        <f>AR28*(1-'Key Variables'!$C$31)</f>
        <v>69265.625000000029</v>
      </c>
      <c r="AS37" s="36">
        <f>AS28*(1-'Key Variables'!$C$31)</f>
        <v>71500.000000000029</v>
      </c>
      <c r="AT37" s="36">
        <f>AT28*(1-'Key Variables'!$C$31)</f>
        <v>73734.375000000044</v>
      </c>
      <c r="AU37" s="36">
        <f>AU28*(1-'Key Variables'!$C$31)</f>
        <v>75968.750000000044</v>
      </c>
      <c r="AV37" s="36">
        <f>AV28*(1-'Key Variables'!$C$31)</f>
        <v>78203.125000000044</v>
      </c>
      <c r="AW37" s="36">
        <f>AW28*(1-'Key Variables'!$C$31)</f>
        <v>80437.500000000044</v>
      </c>
      <c r="AX37" s="4">
        <f t="shared" si="38"/>
        <v>1702593.7500000005</v>
      </c>
      <c r="AY37" s="62">
        <f>1-(AX37/AX28)</f>
        <v>0.45000000000000007</v>
      </c>
    </row>
    <row r="38" spans="1:51" hidden="1" x14ac:dyDescent="0.25">
      <c r="A38" s="10" t="s">
        <v>397</v>
      </c>
      <c r="B38" s="36">
        <f>B29*(1-'Key Variables'!$C$29)</f>
        <v>140625</v>
      </c>
      <c r="C38" s="36">
        <f>C29*(1-'Key Variables'!$C$29)</f>
        <v>140625</v>
      </c>
      <c r="D38" s="36">
        <f>D29*(1-'Key Variables'!$C$29)</f>
        <v>140625</v>
      </c>
      <c r="E38" s="36">
        <f>E29*(1-'Key Variables'!$C$29)</f>
        <v>140625</v>
      </c>
      <c r="F38" s="36">
        <f>F29*(1-'Key Variables'!$C$29)</f>
        <v>140625</v>
      </c>
      <c r="G38" s="36">
        <f>G29*(1-'Key Variables'!$C$29)</f>
        <v>140625</v>
      </c>
      <c r="H38" s="36">
        <f>H29*(1-'Key Variables'!$C$29)</f>
        <v>140625</v>
      </c>
      <c r="I38" s="36">
        <f>I29*(1-'Key Variables'!$C$29)</f>
        <v>140625</v>
      </c>
      <c r="J38" s="36">
        <f>J29*(1-'Key Variables'!$C$29)</f>
        <v>140625</v>
      </c>
      <c r="K38" s="36">
        <f>K29*(1-'Key Variables'!$C$29)</f>
        <v>140625</v>
      </c>
      <c r="L38" s="36">
        <f>L29*(1-'Key Variables'!$C$29)</f>
        <v>140625</v>
      </c>
      <c r="M38" s="36">
        <f>M29*(1-'Key Variables'!$C$29)</f>
        <v>140625</v>
      </c>
      <c r="N38" s="36">
        <f>N29*(1-'Key Variables'!$C$29)</f>
        <v>187500</v>
      </c>
      <c r="O38" s="36">
        <f>O29*(1-'Key Variables'!$C$29)</f>
        <v>187500</v>
      </c>
      <c r="P38" s="36">
        <f>P29*(1-'Key Variables'!$C$29)</f>
        <v>187500</v>
      </c>
      <c r="Q38" s="36">
        <f>Q29*(1-'Key Variables'!$C$29)</f>
        <v>187500</v>
      </c>
      <c r="R38" s="36">
        <f>R29*(1-'Key Variables'!$C$29)</f>
        <v>187500</v>
      </c>
      <c r="S38" s="36">
        <f>S29*(1-'Key Variables'!$C$29)</f>
        <v>187500</v>
      </c>
      <c r="T38" s="36">
        <f>T29*(1-'Key Variables'!$C$29)</f>
        <v>187500</v>
      </c>
      <c r="U38" s="36">
        <f>U29*(1-'Key Variables'!$C$29)</f>
        <v>187500</v>
      </c>
      <c r="V38" s="36">
        <f>V29*(1-'Key Variables'!$C$29)</f>
        <v>187500</v>
      </c>
      <c r="W38" s="36">
        <f>W29*(1-'Key Variables'!$C$29)</f>
        <v>187500</v>
      </c>
      <c r="X38" s="36">
        <f>X29*(1-'Key Variables'!$C$29)</f>
        <v>187500</v>
      </c>
      <c r="Y38" s="36">
        <f>Y29*(1-'Key Variables'!$C$29)</f>
        <v>187500</v>
      </c>
      <c r="Z38" s="36">
        <f>Z29*(1-'Key Variables'!$C$29)</f>
        <v>234375.00000000003</v>
      </c>
      <c r="AA38" s="36">
        <f>AA29*(1-'Key Variables'!$C$29)</f>
        <v>234375.00000000003</v>
      </c>
      <c r="AB38" s="36">
        <f>AB29*(1-'Key Variables'!$C$29)</f>
        <v>234375.00000000003</v>
      </c>
      <c r="AC38" s="36">
        <f>AC29*(1-'Key Variables'!$C$29)</f>
        <v>234375.00000000003</v>
      </c>
      <c r="AD38" s="36">
        <f>AD29*(1-'Key Variables'!$C$29)</f>
        <v>234375.00000000003</v>
      </c>
      <c r="AE38" s="36">
        <f>AE29*(1-'Key Variables'!$C$29)</f>
        <v>234375.00000000003</v>
      </c>
      <c r="AF38" s="36">
        <f>AF29*(1-'Key Variables'!$C$29)</f>
        <v>234375.00000000003</v>
      </c>
      <c r="AG38" s="36">
        <f>AG29*(1-'Key Variables'!$C$29)</f>
        <v>234375.00000000003</v>
      </c>
      <c r="AH38" s="36">
        <f>AH29*(1-'Key Variables'!$C$29)</f>
        <v>234375.00000000003</v>
      </c>
      <c r="AI38" s="36">
        <f>AI29*(1-'Key Variables'!$C$29)</f>
        <v>234375.00000000003</v>
      </c>
      <c r="AJ38" s="36">
        <f>AJ29*(1-'Key Variables'!$C$29)</f>
        <v>234375.00000000003</v>
      </c>
      <c r="AK38" s="36">
        <f>AK29*(1-'Key Variables'!$C$29)</f>
        <v>234375.00000000003</v>
      </c>
      <c r="AL38" s="36">
        <f>AL29*(1-'Key Variables'!$C$29)</f>
        <v>281250</v>
      </c>
      <c r="AM38" s="36">
        <f>AM29*(1-'Key Variables'!$C$29)</f>
        <v>281250</v>
      </c>
      <c r="AN38" s="36">
        <f>AN29*(1-'Key Variables'!$C$29)</f>
        <v>281250</v>
      </c>
      <c r="AO38" s="36">
        <f>AO29*(1-'Key Variables'!$C$29)</f>
        <v>281250</v>
      </c>
      <c r="AP38" s="36">
        <f>AP29*(1-'Key Variables'!$C$29)</f>
        <v>281250</v>
      </c>
      <c r="AQ38" s="36">
        <f>AQ29*(1-'Key Variables'!$C$29)</f>
        <v>281250</v>
      </c>
      <c r="AR38" s="36">
        <f>AR29*(1-'Key Variables'!$C$29)</f>
        <v>281250</v>
      </c>
      <c r="AS38" s="36">
        <f>AS29*(1-'Key Variables'!$C$29)</f>
        <v>281250</v>
      </c>
      <c r="AT38" s="36">
        <f>AT29*(1-'Key Variables'!$C$29)</f>
        <v>281250</v>
      </c>
      <c r="AU38" s="36">
        <f>AU29*(1-'Key Variables'!$C$29)</f>
        <v>281250</v>
      </c>
      <c r="AV38" s="36">
        <f>AV29*(1-'Key Variables'!$C$29)</f>
        <v>281250</v>
      </c>
      <c r="AW38" s="36">
        <f>AW29*(1-'Key Variables'!$C$29)</f>
        <v>281250</v>
      </c>
      <c r="AX38" s="36">
        <f>AX29*(1-'Key Variables'!$C$29)</f>
        <v>0</v>
      </c>
      <c r="AY38" s="62"/>
    </row>
    <row r="39" spans="1:51" hidden="1" x14ac:dyDescent="0.25">
      <c r="A39" s="10" t="s">
        <v>143</v>
      </c>
      <c r="B39" s="36">
        <f>B30*(1-'Key Variables'!$C$30)</f>
        <v>0</v>
      </c>
      <c r="C39" s="36">
        <f>C30*(1-'Key Variables'!$C$30)</f>
        <v>0</v>
      </c>
      <c r="D39" s="36">
        <f>D30*(1-'Key Variables'!$C$30)</f>
        <v>0</v>
      </c>
      <c r="E39" s="36">
        <f>E30*(1-'Key Variables'!$C$30)</f>
        <v>0</v>
      </c>
      <c r="F39" s="36">
        <f>F30*(1-'Key Variables'!$C$30)</f>
        <v>0</v>
      </c>
      <c r="G39" s="36">
        <f>G30*(1-'Key Variables'!$C$30)</f>
        <v>0</v>
      </c>
      <c r="H39" s="36">
        <f>H30*(1-'Key Variables'!$C$30)</f>
        <v>169.27083333333334</v>
      </c>
      <c r="I39" s="36">
        <f>I30*(1-'Key Variables'!$C$30)</f>
        <v>338.54166666666669</v>
      </c>
      <c r="J39" s="36">
        <f>J30*(1-'Key Variables'!$C$30)</f>
        <v>507.8125</v>
      </c>
      <c r="K39" s="36">
        <f>K30*(1-'Key Variables'!$C$30)</f>
        <v>677.08333333333337</v>
      </c>
      <c r="L39" s="36">
        <f>L30*(1-'Key Variables'!$C$30)</f>
        <v>846.35416666666663</v>
      </c>
      <c r="M39" s="36">
        <f>M30*(1-'Key Variables'!$C$30)</f>
        <v>1015.625</v>
      </c>
      <c r="N39" s="36">
        <f>N30*(1-'Key Variables'!$C$30)</f>
        <v>1184.8958333333335</v>
      </c>
      <c r="O39" s="36">
        <f>O30*(1-'Key Variables'!$C$30)</f>
        <v>1354.1666666666667</v>
      </c>
      <c r="P39" s="36">
        <f>P30*(1-'Key Variables'!$C$30)</f>
        <v>1523.4375</v>
      </c>
      <c r="Q39" s="36">
        <f>Q30*(1-'Key Variables'!$C$30)</f>
        <v>1692.7083333333333</v>
      </c>
      <c r="R39" s="36">
        <f>R30*(1-'Key Variables'!$C$30)</f>
        <v>1861.9791666666667</v>
      </c>
      <c r="S39" s="36">
        <f>S30*(1-'Key Variables'!$C$30)</f>
        <v>2031.25</v>
      </c>
      <c r="T39" s="36">
        <f>T30*(1-'Key Variables'!$C$30)</f>
        <v>2256.9444444444448</v>
      </c>
      <c r="U39" s="36">
        <f>U30*(1-'Key Variables'!$C$30)</f>
        <v>2482.6388888888891</v>
      </c>
      <c r="V39" s="36">
        <f>V30*(1-'Key Variables'!$C$30)</f>
        <v>2708.3333333333335</v>
      </c>
      <c r="W39" s="36">
        <f>W30*(1-'Key Variables'!$C$30)</f>
        <v>2934.0277777777783</v>
      </c>
      <c r="X39" s="36">
        <f>X30*(1-'Key Variables'!$C$30)</f>
        <v>3159.7222222222231</v>
      </c>
      <c r="Y39" s="36">
        <f>Y30*(1-'Key Variables'!$C$30)</f>
        <v>3385.4166666666683</v>
      </c>
      <c r="Z39" s="36">
        <f>Z30*(1-'Key Variables'!$C$30)</f>
        <v>3611.1111111111127</v>
      </c>
      <c r="AA39" s="36">
        <f>AA30*(1-'Key Variables'!$C$30)</f>
        <v>3836.805555555557</v>
      </c>
      <c r="AB39" s="36">
        <f>AB30*(1-'Key Variables'!$C$30)</f>
        <v>4062.5000000000018</v>
      </c>
      <c r="AC39" s="36">
        <f>AC30*(1-'Key Variables'!$C$30)</f>
        <v>4288.1944444444471</v>
      </c>
      <c r="AD39" s="36">
        <f>AD30*(1-'Key Variables'!$C$30)</f>
        <v>4513.8888888888905</v>
      </c>
      <c r="AE39" s="36">
        <f>AE30*(1-'Key Variables'!$C$30)</f>
        <v>4739.5833333333339</v>
      </c>
      <c r="AF39" s="36">
        <f>AF30*(1-'Key Variables'!$C$30)</f>
        <v>5021.7013888888905</v>
      </c>
      <c r="AG39" s="36">
        <f>AG30*(1-'Key Variables'!$C$30)</f>
        <v>5303.8194444444471</v>
      </c>
      <c r="AH39" s="36">
        <f>AH30*(1-'Key Variables'!$C$30)</f>
        <v>5585.9375000000036</v>
      </c>
      <c r="AI39" s="36">
        <f>AI30*(1-'Key Variables'!$C$30)</f>
        <v>5868.0555555555575</v>
      </c>
      <c r="AJ39" s="36">
        <f>AJ30*(1-'Key Variables'!$C$30)</f>
        <v>6150.173611111114</v>
      </c>
      <c r="AK39" s="36">
        <f>AK30*(1-'Key Variables'!$C$30)</f>
        <v>6432.2916666666697</v>
      </c>
      <c r="AL39" s="36">
        <f>AL30*(1-'Key Variables'!$C$30)</f>
        <v>6714.4097222222254</v>
      </c>
      <c r="AM39" s="36">
        <f>AM30*(1-'Key Variables'!$C$30)</f>
        <v>6996.5277777777828</v>
      </c>
      <c r="AN39" s="36">
        <f>AN30*(1-'Key Variables'!$C$30)</f>
        <v>7278.6458333333367</v>
      </c>
      <c r="AO39" s="36">
        <f>AO30*(1-'Key Variables'!$C$30)</f>
        <v>7560.7638888888932</v>
      </c>
      <c r="AP39" s="36">
        <f>AP30*(1-'Key Variables'!$C$30)</f>
        <v>7842.8819444444489</v>
      </c>
      <c r="AQ39" s="36">
        <f>AQ30*(1-'Key Variables'!$C$30)</f>
        <v>8125.0000000000055</v>
      </c>
      <c r="AR39" s="36">
        <f>AR30*(1-'Key Variables'!$C$30)</f>
        <v>8463.5416666666715</v>
      </c>
      <c r="AS39" s="36">
        <f>AS30*(1-'Key Variables'!$C$30)</f>
        <v>8802.0833333333376</v>
      </c>
      <c r="AT39" s="36">
        <f>AT30*(1-'Key Variables'!$C$30)</f>
        <v>9140.6250000000036</v>
      </c>
      <c r="AU39" s="36">
        <f>AU30*(1-'Key Variables'!$C$30)</f>
        <v>9479.1666666666697</v>
      </c>
      <c r="AV39" s="36">
        <f>AV30*(1-'Key Variables'!$C$30)</f>
        <v>9817.7083333333376</v>
      </c>
      <c r="AW39" s="36">
        <f>AW30*(1-'Key Variables'!$C$30)</f>
        <v>10156.250000000004</v>
      </c>
      <c r="AX39" s="4">
        <f t="shared" si="38"/>
        <v>189921.87500000009</v>
      </c>
      <c r="AY39" s="62">
        <f>1-(AX39/AX30)</f>
        <v>0.35</v>
      </c>
    </row>
    <row r="40" spans="1:51" hidden="1" x14ac:dyDescent="0.25">
      <c r="A40" s="10" t="s">
        <v>134</v>
      </c>
      <c r="B40" s="36">
        <f>B31*(1-'Key Variables'!$C$26)</f>
        <v>166.66666666666669</v>
      </c>
      <c r="C40" s="36">
        <f>C31*(1-'Key Variables'!$C$26)</f>
        <v>333.33333333333337</v>
      </c>
      <c r="D40" s="36">
        <f>D31*(1-'Key Variables'!$C$26)</f>
        <v>500</v>
      </c>
      <c r="E40" s="36">
        <f>E31*(1-'Key Variables'!$C$26)</f>
        <v>666.66666666666674</v>
      </c>
      <c r="F40" s="36">
        <f>F31*(1-'Key Variables'!$C$26)</f>
        <v>833.33333333333348</v>
      </c>
      <c r="G40" s="36">
        <f>G31*(1-'Key Variables'!$C$26)</f>
        <v>1000</v>
      </c>
      <c r="H40" s="36">
        <f>H31*(1-'Key Variables'!$C$26)</f>
        <v>1166.6666666666667</v>
      </c>
      <c r="I40" s="36">
        <f>I31*(1-'Key Variables'!$C$26)</f>
        <v>1333.3333333333335</v>
      </c>
      <c r="J40" s="36">
        <f>J31*(1-'Key Variables'!$C$26)</f>
        <v>1500</v>
      </c>
      <c r="K40" s="36">
        <f>K31*(1-'Key Variables'!$C$26)</f>
        <v>1666.666666666667</v>
      </c>
      <c r="L40" s="36">
        <f>L31*(1-'Key Variables'!$C$26)</f>
        <v>1833.3333333333333</v>
      </c>
      <c r="M40" s="36">
        <f>M31*(1-'Key Variables'!$C$26)</f>
        <v>2000</v>
      </c>
      <c r="N40" s="36">
        <f>N31*(1-'Key Variables'!$C$26)</f>
        <v>2222.2222222222222</v>
      </c>
      <c r="O40" s="36">
        <f>O31*(1-'Key Variables'!$C$26)</f>
        <v>2444.4444444444448</v>
      </c>
      <c r="P40" s="36">
        <f>P31*(1-'Key Variables'!$C$26)</f>
        <v>2666.6666666666674</v>
      </c>
      <c r="Q40" s="36">
        <f>Q31*(1-'Key Variables'!$C$26)</f>
        <v>2888.8888888888896</v>
      </c>
      <c r="R40" s="36">
        <f>R31*(1-'Key Variables'!$C$26)</f>
        <v>3111.1111111111122</v>
      </c>
      <c r="S40" s="36">
        <f>S31*(1-'Key Variables'!$C$26)</f>
        <v>3333.3333333333353</v>
      </c>
      <c r="T40" s="36">
        <f>T31*(1-'Key Variables'!$C$26)</f>
        <v>3555.555555555557</v>
      </c>
      <c r="U40" s="36">
        <f>U31*(1-'Key Variables'!$C$26)</f>
        <v>3777.7777777777792</v>
      </c>
      <c r="V40" s="36">
        <f>V31*(1-'Key Variables'!$C$26)</f>
        <v>4000.0000000000018</v>
      </c>
      <c r="W40" s="36">
        <f>W31*(1-'Key Variables'!$C$26)</f>
        <v>4222.2222222222244</v>
      </c>
      <c r="X40" s="36">
        <f>X31*(1-'Key Variables'!$C$26)</f>
        <v>4444.4444444444462</v>
      </c>
      <c r="Y40" s="36">
        <f>Y31*(1-'Key Variables'!$C$26)</f>
        <v>4666.6666666666679</v>
      </c>
      <c r="Z40" s="36">
        <f>Z31*(1-'Key Variables'!$C$26)</f>
        <v>4944.4444444444462</v>
      </c>
      <c r="AA40" s="36">
        <f>AA31*(1-'Key Variables'!$C$26)</f>
        <v>5222.2222222222244</v>
      </c>
      <c r="AB40" s="36">
        <f>AB31*(1-'Key Variables'!$C$26)</f>
        <v>5500.0000000000036</v>
      </c>
      <c r="AC40" s="36">
        <f>AC31*(1-'Key Variables'!$C$26)</f>
        <v>5777.777777777781</v>
      </c>
      <c r="AD40" s="36">
        <f>AD31*(1-'Key Variables'!$C$26)</f>
        <v>6055.5555555555584</v>
      </c>
      <c r="AE40" s="36">
        <f>AE31*(1-'Key Variables'!$C$26)</f>
        <v>6333.3333333333367</v>
      </c>
      <c r="AF40" s="36">
        <f>AF31*(1-'Key Variables'!$C$26)</f>
        <v>6611.111111111114</v>
      </c>
      <c r="AG40" s="36">
        <f>AG31*(1-'Key Variables'!$C$26)</f>
        <v>6888.8888888888941</v>
      </c>
      <c r="AH40" s="36">
        <f>AH31*(1-'Key Variables'!$C$26)</f>
        <v>7166.6666666666706</v>
      </c>
      <c r="AI40" s="36">
        <f>AI31*(1-'Key Variables'!$C$26)</f>
        <v>7444.4444444444489</v>
      </c>
      <c r="AJ40" s="36">
        <f>AJ31*(1-'Key Variables'!$C$26)</f>
        <v>7722.2222222222263</v>
      </c>
      <c r="AK40" s="36">
        <f>AK31*(1-'Key Variables'!$C$26)</f>
        <v>8000.0000000000045</v>
      </c>
      <c r="AL40" s="36">
        <f>AL31*(1-'Key Variables'!$C$26)</f>
        <v>8333.3333333333394</v>
      </c>
      <c r="AM40" s="36">
        <f>AM31*(1-'Key Variables'!$C$26)</f>
        <v>8666.6666666666697</v>
      </c>
      <c r="AN40" s="36">
        <f>AN31*(1-'Key Variables'!$C$26)</f>
        <v>9000.0000000000055</v>
      </c>
      <c r="AO40" s="36">
        <f>AO31*(1-'Key Variables'!$C$26)</f>
        <v>9333.3333333333376</v>
      </c>
      <c r="AP40" s="36">
        <f>AP31*(1-'Key Variables'!$C$26)</f>
        <v>9666.6666666666697</v>
      </c>
      <c r="AQ40" s="36">
        <f>AQ31*(1-'Key Variables'!$C$26)</f>
        <v>10000.000000000005</v>
      </c>
      <c r="AR40" s="36">
        <f>AR31*(1-'Key Variables'!$C$26)</f>
        <v>10333.333333333338</v>
      </c>
      <c r="AS40" s="36">
        <f>AS31*(1-'Key Variables'!$C$26)</f>
        <v>10666.666666666672</v>
      </c>
      <c r="AT40" s="36">
        <f>AT31*(1-'Key Variables'!$C$26)</f>
        <v>11000.000000000007</v>
      </c>
      <c r="AU40" s="36">
        <f>AU31*(1-'Key Variables'!$C$26)</f>
        <v>11333.333333333339</v>
      </c>
      <c r="AV40" s="36">
        <f>AV31*(1-'Key Variables'!$C$26)</f>
        <v>11666.666666666673</v>
      </c>
      <c r="AW40" s="36">
        <f>AW31*(1-'Key Variables'!$C$26)</f>
        <v>12000.000000000007</v>
      </c>
      <c r="AX40" s="4">
        <f t="shared" si="38"/>
        <v>254000.00000000009</v>
      </c>
      <c r="AY40" s="62">
        <f>1-(AX40/AX31)</f>
        <v>0.20000000000000007</v>
      </c>
    </row>
    <row r="41" spans="1:51" hidden="1" x14ac:dyDescent="0.25">
      <c r="A41" s="10" t="s">
        <v>242</v>
      </c>
      <c r="B41" s="36">
        <f>B32*(1-'Key Variables'!$C$27)</f>
        <v>625</v>
      </c>
      <c r="C41" s="36">
        <f>C32*(1-'Key Variables'!$C$27)</f>
        <v>1250</v>
      </c>
      <c r="D41" s="36">
        <f>D32*(1-'Key Variables'!$C$27)</f>
        <v>1875</v>
      </c>
      <c r="E41" s="36">
        <f>E32*(1-'Key Variables'!$C$27)</f>
        <v>2500</v>
      </c>
      <c r="F41" s="36">
        <f>F32*(1-'Key Variables'!$C$27)</f>
        <v>3125</v>
      </c>
      <c r="G41" s="36">
        <f>G32*(1-'Key Variables'!$C$27)</f>
        <v>3750</v>
      </c>
      <c r="H41" s="36">
        <f>H32*(1-'Key Variables'!$C$27)</f>
        <v>4375</v>
      </c>
      <c r="I41" s="36">
        <f>I32*(1-'Key Variables'!$C$27)</f>
        <v>5000</v>
      </c>
      <c r="J41" s="36">
        <f>J32*(1-'Key Variables'!$C$27)</f>
        <v>5625</v>
      </c>
      <c r="K41" s="36">
        <f>K32*(1-'Key Variables'!$C$27)</f>
        <v>6250</v>
      </c>
      <c r="L41" s="36">
        <f>L32*(1-'Key Variables'!$C$27)</f>
        <v>6875</v>
      </c>
      <c r="M41" s="36">
        <f>M32*(1-'Key Variables'!$C$27)</f>
        <v>7500</v>
      </c>
      <c r="N41" s="36">
        <f>N32*(1-'Key Variables'!$C$27)</f>
        <v>8333.3333333333339</v>
      </c>
      <c r="O41" s="36">
        <f>O32*(1-'Key Variables'!$C$27)</f>
        <v>9166.6666666666679</v>
      </c>
      <c r="P41" s="36">
        <f>P32*(1-'Key Variables'!$C$27)</f>
        <v>10000.000000000004</v>
      </c>
      <c r="Q41" s="36">
        <f>Q32*(1-'Key Variables'!$C$27)</f>
        <v>10833.333333333336</v>
      </c>
      <c r="R41" s="36">
        <f>R32*(1-'Key Variables'!$C$27)</f>
        <v>11666.666666666672</v>
      </c>
      <c r="S41" s="36">
        <f>S32*(1-'Key Variables'!$C$27)</f>
        <v>12500.000000000005</v>
      </c>
      <c r="T41" s="36">
        <f>T32*(1-'Key Variables'!$C$27)</f>
        <v>13333.333333333338</v>
      </c>
      <c r="U41" s="36">
        <f>U32*(1-'Key Variables'!$C$27)</f>
        <v>14166.666666666672</v>
      </c>
      <c r="V41" s="36">
        <f>V32*(1-'Key Variables'!$C$27)</f>
        <v>15000.000000000007</v>
      </c>
      <c r="W41" s="36">
        <f>W32*(1-'Key Variables'!$C$27)</f>
        <v>15833.333333333341</v>
      </c>
      <c r="X41" s="36">
        <f>X32*(1-'Key Variables'!$C$27)</f>
        <v>16666.666666666672</v>
      </c>
      <c r="Y41" s="36">
        <f>Y32*(1-'Key Variables'!$C$27)</f>
        <v>17500.000000000007</v>
      </c>
      <c r="Z41" s="36">
        <f>Z32*(1-'Key Variables'!$C$27)</f>
        <v>18541.666666666672</v>
      </c>
      <c r="AA41" s="36">
        <f>AA32*(1-'Key Variables'!$C$27)</f>
        <v>19583.333333333339</v>
      </c>
      <c r="AB41" s="36">
        <f>AB32*(1-'Key Variables'!$C$27)</f>
        <v>20625.000000000011</v>
      </c>
      <c r="AC41" s="36">
        <f>AC32*(1-'Key Variables'!$C$27)</f>
        <v>21666.666666666675</v>
      </c>
      <c r="AD41" s="36">
        <f>AD32*(1-'Key Variables'!$C$27)</f>
        <v>22708.333333333343</v>
      </c>
      <c r="AE41" s="36">
        <f>AE32*(1-'Key Variables'!$C$27)</f>
        <v>23750.000000000011</v>
      </c>
      <c r="AF41" s="36">
        <f>AF32*(1-'Key Variables'!$C$27)</f>
        <v>24791.666666666682</v>
      </c>
      <c r="AG41" s="36">
        <f>AG32*(1-'Key Variables'!$C$27)</f>
        <v>25833.33333333335</v>
      </c>
      <c r="AH41" s="36">
        <f>AH32*(1-'Key Variables'!$C$27)</f>
        <v>26875.000000000015</v>
      </c>
      <c r="AI41" s="36">
        <f>AI32*(1-'Key Variables'!$C$27)</f>
        <v>27916.666666666686</v>
      </c>
      <c r="AJ41" s="36">
        <f>AJ32*(1-'Key Variables'!$C$27)</f>
        <v>28958.33333333335</v>
      </c>
      <c r="AK41" s="36">
        <f>AK32*(1-'Key Variables'!$C$27)</f>
        <v>30000.000000000018</v>
      </c>
      <c r="AL41" s="36">
        <f>AL32*(1-'Key Variables'!$C$27)</f>
        <v>31250.000000000018</v>
      </c>
      <c r="AM41" s="36">
        <f>AM32*(1-'Key Variables'!$C$27)</f>
        <v>32500.000000000015</v>
      </c>
      <c r="AN41" s="36">
        <f>AN32*(1-'Key Variables'!$C$27)</f>
        <v>33750.000000000015</v>
      </c>
      <c r="AO41" s="36">
        <f>AO32*(1-'Key Variables'!$C$27)</f>
        <v>35000.000000000015</v>
      </c>
      <c r="AP41" s="36">
        <f>AP32*(1-'Key Variables'!$C$27)</f>
        <v>36250.000000000015</v>
      </c>
      <c r="AQ41" s="36">
        <f>AQ32*(1-'Key Variables'!$C$27)</f>
        <v>37500.000000000015</v>
      </c>
      <c r="AR41" s="36">
        <f>AR32*(1-'Key Variables'!$C$27)</f>
        <v>38750.000000000015</v>
      </c>
      <c r="AS41" s="36">
        <f>AS32*(1-'Key Variables'!$C$27)</f>
        <v>40000.000000000015</v>
      </c>
      <c r="AT41" s="36">
        <f>AT32*(1-'Key Variables'!$C$27)</f>
        <v>41250.000000000022</v>
      </c>
      <c r="AU41" s="36">
        <f>AU32*(1-'Key Variables'!$C$27)</f>
        <v>42500.000000000022</v>
      </c>
      <c r="AV41" s="36">
        <f>AV32*(1-'Key Variables'!$C$27)</f>
        <v>43750.000000000022</v>
      </c>
      <c r="AW41" s="36">
        <f>AW32*(1-'Key Variables'!$C$27)</f>
        <v>45000.000000000022</v>
      </c>
      <c r="AX41" s="4">
        <f t="shared" si="38"/>
        <v>952500.00000000023</v>
      </c>
      <c r="AY41" s="62">
        <f>1-(AX41/AX32)</f>
        <v>0.19999999999999996</v>
      </c>
    </row>
    <row r="42" spans="1:51" hidden="1" x14ac:dyDescent="0.25">
      <c r="A42" s="10" t="s">
        <v>243</v>
      </c>
      <c r="B42" s="36">
        <f>B33*(1-'Key Variables'!$C$28)</f>
        <v>487.5</v>
      </c>
      <c r="C42" s="36">
        <f>C33*(1-'Key Variables'!$C$28)</f>
        <v>975</v>
      </c>
      <c r="D42" s="36">
        <f>D33*(1-'Key Variables'!$C$28)</f>
        <v>1462.5</v>
      </c>
      <c r="E42" s="36">
        <f>E33*(1-'Key Variables'!$C$28)</f>
        <v>1950</v>
      </c>
      <c r="F42" s="36">
        <f>F33*(1-'Key Variables'!$C$28)</f>
        <v>2437.5</v>
      </c>
      <c r="G42" s="36">
        <f>G33*(1-'Key Variables'!$C$28)</f>
        <v>2925</v>
      </c>
      <c r="H42" s="36">
        <f>H33*(1-'Key Variables'!$C$28)</f>
        <v>3412.5</v>
      </c>
      <c r="I42" s="36">
        <f>I33*(1-'Key Variables'!$C$28)</f>
        <v>3900</v>
      </c>
      <c r="J42" s="36">
        <f>J33*(1-'Key Variables'!$C$28)</f>
        <v>4387.5</v>
      </c>
      <c r="K42" s="36">
        <f>K33*(1-'Key Variables'!$C$28)</f>
        <v>4875</v>
      </c>
      <c r="L42" s="36">
        <f>L33*(1-'Key Variables'!$C$28)</f>
        <v>5362.5</v>
      </c>
      <c r="M42" s="36">
        <f>M33*(1-'Key Variables'!$C$28)</f>
        <v>5850</v>
      </c>
      <c r="N42" s="36">
        <f>N33*(1-'Key Variables'!$C$28)</f>
        <v>6500.0000000000009</v>
      </c>
      <c r="O42" s="36">
        <f>O33*(1-'Key Variables'!$C$28)</f>
        <v>7150.0000000000018</v>
      </c>
      <c r="P42" s="36">
        <f>P33*(1-'Key Variables'!$C$28)</f>
        <v>7800.0000000000018</v>
      </c>
      <c r="Q42" s="36">
        <f>Q33*(1-'Key Variables'!$C$28)</f>
        <v>8450.0000000000018</v>
      </c>
      <c r="R42" s="36">
        <f>R33*(1-'Key Variables'!$C$28)</f>
        <v>9100.0000000000036</v>
      </c>
      <c r="S42" s="36">
        <f>S33*(1-'Key Variables'!$C$28)</f>
        <v>9750.0000000000055</v>
      </c>
      <c r="T42" s="36">
        <f>T33*(1-'Key Variables'!$C$28)</f>
        <v>10400.000000000004</v>
      </c>
      <c r="U42" s="36">
        <f>U33*(1-'Key Variables'!$C$28)</f>
        <v>11050.000000000004</v>
      </c>
      <c r="V42" s="36">
        <f>V33*(1-'Key Variables'!$C$28)</f>
        <v>11700.000000000005</v>
      </c>
      <c r="W42" s="36">
        <f>W33*(1-'Key Variables'!$C$28)</f>
        <v>12350.000000000005</v>
      </c>
      <c r="X42" s="36">
        <f>X33*(1-'Key Variables'!$C$28)</f>
        <v>13000.000000000004</v>
      </c>
      <c r="Y42" s="36">
        <f>Y33*(1-'Key Variables'!$C$28)</f>
        <v>13650.000000000004</v>
      </c>
      <c r="Z42" s="36">
        <f>Z33*(1-'Key Variables'!$C$28)</f>
        <v>14462.500000000004</v>
      </c>
      <c r="AA42" s="36">
        <f>AA33*(1-'Key Variables'!$C$28)</f>
        <v>15275.000000000007</v>
      </c>
      <c r="AB42" s="36">
        <f>AB33*(1-'Key Variables'!$C$28)</f>
        <v>16087.500000000009</v>
      </c>
      <c r="AC42" s="36">
        <f>AC33*(1-'Key Variables'!$C$28)</f>
        <v>16900.000000000007</v>
      </c>
      <c r="AD42" s="36">
        <f>AD33*(1-'Key Variables'!$C$28)</f>
        <v>17712.500000000007</v>
      </c>
      <c r="AE42" s="36">
        <f>AE33*(1-'Key Variables'!$C$28)</f>
        <v>18525.000000000011</v>
      </c>
      <c r="AF42" s="36">
        <f>AF33*(1-'Key Variables'!$C$28)</f>
        <v>19337.500000000011</v>
      </c>
      <c r="AG42" s="36">
        <f>AG33*(1-'Key Variables'!$C$28)</f>
        <v>20150.000000000015</v>
      </c>
      <c r="AH42" s="36">
        <f>AH33*(1-'Key Variables'!$C$28)</f>
        <v>20962.500000000015</v>
      </c>
      <c r="AI42" s="36">
        <f>AI33*(1-'Key Variables'!$C$28)</f>
        <v>21775.000000000015</v>
      </c>
      <c r="AJ42" s="36">
        <f>AJ33*(1-'Key Variables'!$C$28)</f>
        <v>22587.500000000015</v>
      </c>
      <c r="AK42" s="36">
        <f>AK33*(1-'Key Variables'!$C$28)</f>
        <v>23400.000000000015</v>
      </c>
      <c r="AL42" s="36">
        <f>AL33*(1-'Key Variables'!$C$28)</f>
        <v>24375.000000000015</v>
      </c>
      <c r="AM42" s="36">
        <f>AM33*(1-'Key Variables'!$C$28)</f>
        <v>25350.000000000015</v>
      </c>
      <c r="AN42" s="36">
        <f>AN33*(1-'Key Variables'!$C$28)</f>
        <v>26325.000000000015</v>
      </c>
      <c r="AO42" s="36">
        <f>AO33*(1-'Key Variables'!$C$28)</f>
        <v>27300.000000000015</v>
      </c>
      <c r="AP42" s="36">
        <f>AP33*(1-'Key Variables'!$C$28)</f>
        <v>28275.000000000015</v>
      </c>
      <c r="AQ42" s="36">
        <f>AQ33*(1-'Key Variables'!$C$28)</f>
        <v>29250.000000000015</v>
      </c>
      <c r="AR42" s="36">
        <f>AR33*(1-'Key Variables'!$C$28)</f>
        <v>30225.000000000015</v>
      </c>
      <c r="AS42" s="36">
        <f>AS33*(1-'Key Variables'!$C$28)</f>
        <v>31200.000000000015</v>
      </c>
      <c r="AT42" s="36">
        <f>AT33*(1-'Key Variables'!$C$28)</f>
        <v>32175.000000000018</v>
      </c>
      <c r="AU42" s="36">
        <f>AU33*(1-'Key Variables'!$C$28)</f>
        <v>33150.000000000022</v>
      </c>
      <c r="AV42" s="36">
        <f>AV33*(1-'Key Variables'!$C$28)</f>
        <v>34125.000000000022</v>
      </c>
      <c r="AW42" s="36">
        <f>AW33*(1-'Key Variables'!$C$28)</f>
        <v>35100.000000000022</v>
      </c>
      <c r="AX42" s="4">
        <f t="shared" si="38"/>
        <v>742950</v>
      </c>
      <c r="AY42" s="62">
        <f>1-(AX42/AX33)</f>
        <v>0.19999999999999996</v>
      </c>
    </row>
    <row r="43" spans="1:51" hidden="1" x14ac:dyDescent="0.25">
      <c r="A43" s="10"/>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51" s="21" customFormat="1" hidden="1" x14ac:dyDescent="0.25">
      <c r="A44" s="21" t="s">
        <v>72</v>
      </c>
      <c r="B44" s="22">
        <f>B4*'Key Variables'!$G$2*'Key Variables'!$C$7*'Key Variables'!$C$57/100</f>
        <v>2500</v>
      </c>
      <c r="C44" s="22">
        <f>C4*'Key Variables'!$G$2*'Key Variables'!$C$7*'Key Variables'!$C$57/100</f>
        <v>2500</v>
      </c>
      <c r="D44" s="22">
        <f>D4*'Key Variables'!$G$2*'Key Variables'!$C$7*'Key Variables'!$C$57/100</f>
        <v>2500</v>
      </c>
      <c r="E44" s="22">
        <f>E4*'Key Variables'!$G$2*'Key Variables'!$C$7*'Key Variables'!$C$57/100</f>
        <v>2500</v>
      </c>
      <c r="F44" s="22">
        <f>F4*'Key Variables'!$G$2*'Key Variables'!$C$7*'Key Variables'!$C$57/100</f>
        <v>2500</v>
      </c>
      <c r="G44" s="22">
        <f>G4*'Key Variables'!$G$2*'Key Variables'!$C$7*'Key Variables'!$C$57/100</f>
        <v>2500</v>
      </c>
      <c r="H44" s="22">
        <f>H4*'Key Variables'!$G$2*'Key Variables'!$C$7*'Key Variables'!$C$57/100</f>
        <v>2500</v>
      </c>
      <c r="I44" s="22">
        <f>I4*'Key Variables'!$G$2*'Key Variables'!$C$7*'Key Variables'!$C$57/100</f>
        <v>2500</v>
      </c>
      <c r="J44" s="22">
        <f>J4*'Key Variables'!$G$2*'Key Variables'!$C$7*'Key Variables'!$C$57/100</f>
        <v>2500</v>
      </c>
      <c r="K44" s="22">
        <f>K4*'Key Variables'!$G$2*'Key Variables'!$C$7*'Key Variables'!$C$57/100</f>
        <v>2500</v>
      </c>
      <c r="L44" s="22">
        <f>L4*'Key Variables'!$G$2*'Key Variables'!$C$7*'Key Variables'!$C$57/100</f>
        <v>2500</v>
      </c>
      <c r="M44" s="22">
        <f>M4*'Key Variables'!$G$2*'Key Variables'!$C$7*'Key Variables'!$C$57/100</f>
        <v>2500</v>
      </c>
      <c r="N44" s="22">
        <f>N4*'Key Variables'!$G$2*'Key Variables'!$C$7*'Key Variables'!$C$57/100</f>
        <v>3333.3333333333339</v>
      </c>
      <c r="O44" s="22">
        <f>O4*'Key Variables'!$G$2*'Key Variables'!$C$7*'Key Variables'!$C$57/100</f>
        <v>3333.3333333333339</v>
      </c>
      <c r="P44" s="22">
        <f>P4*'Key Variables'!$G$2*'Key Variables'!$C$7*'Key Variables'!$C$57/100</f>
        <v>3333.3333333333339</v>
      </c>
      <c r="Q44" s="22">
        <f>Q4*'Key Variables'!$G$2*'Key Variables'!$C$7*'Key Variables'!$C$57/100</f>
        <v>3333.3333333333339</v>
      </c>
      <c r="R44" s="22">
        <f>R4*'Key Variables'!$G$2*'Key Variables'!$C$7*'Key Variables'!$C$57/100</f>
        <v>3333.3333333333339</v>
      </c>
      <c r="S44" s="22">
        <f>S4*'Key Variables'!$G$2*'Key Variables'!$C$7*'Key Variables'!$C$57/100</f>
        <v>3333.3333333333339</v>
      </c>
      <c r="T44" s="22">
        <f>T4*'Key Variables'!$G$2*'Key Variables'!$C$7*'Key Variables'!$C$57/100</f>
        <v>3333.3333333333339</v>
      </c>
      <c r="U44" s="22">
        <f>U4*'Key Variables'!$G$2*'Key Variables'!$C$7*'Key Variables'!$C$57/100</f>
        <v>3333.3333333333339</v>
      </c>
      <c r="V44" s="22">
        <f>V4*'Key Variables'!$G$2*'Key Variables'!$C$7*'Key Variables'!$C$57/100</f>
        <v>3333.3333333333339</v>
      </c>
      <c r="W44" s="22">
        <f>W4*'Key Variables'!$G$2*'Key Variables'!$C$7*'Key Variables'!$C$57/100</f>
        <v>3333.3333333333339</v>
      </c>
      <c r="X44" s="22">
        <f>X4*'Key Variables'!$G$2*'Key Variables'!$C$7*'Key Variables'!$C$57/100</f>
        <v>3333.3333333333339</v>
      </c>
      <c r="Y44" s="22">
        <f>Y4*'Key Variables'!$G$2*'Key Variables'!$C$7*'Key Variables'!$C$57/100</f>
        <v>3333.3333333333339</v>
      </c>
      <c r="Z44" s="22">
        <f>Z4*'Key Variables'!$G$2*'Key Variables'!$C$7*'Key Variables'!$C$57/100</f>
        <v>4166.666666666667</v>
      </c>
      <c r="AA44" s="22">
        <f>AA4*'Key Variables'!$G$2*'Key Variables'!$C$7*'Key Variables'!$C$57/100</f>
        <v>4166.666666666667</v>
      </c>
      <c r="AB44" s="22">
        <f>AB4*'Key Variables'!$G$2*'Key Variables'!$C$7*'Key Variables'!$C$57/100</f>
        <v>4166.666666666667</v>
      </c>
      <c r="AC44" s="22">
        <f>AC4*'Key Variables'!$G$2*'Key Variables'!$C$7*'Key Variables'!$C$57/100</f>
        <v>4166.666666666667</v>
      </c>
      <c r="AD44" s="22">
        <f>AD4*'Key Variables'!$G$2*'Key Variables'!$C$7*'Key Variables'!$C$57/100</f>
        <v>4166.666666666667</v>
      </c>
      <c r="AE44" s="22">
        <f>AE4*'Key Variables'!$G$2*'Key Variables'!$C$7*'Key Variables'!$C$57/100</f>
        <v>4166.666666666667</v>
      </c>
      <c r="AF44" s="22">
        <f>AF4*'Key Variables'!$G$2*'Key Variables'!$C$7*'Key Variables'!$C$57/100</f>
        <v>4166.666666666667</v>
      </c>
      <c r="AG44" s="22">
        <f>AG4*'Key Variables'!$G$2*'Key Variables'!$C$7*'Key Variables'!$C$57/100</f>
        <v>4166.666666666667</v>
      </c>
      <c r="AH44" s="22">
        <f>AH4*'Key Variables'!$G$2*'Key Variables'!$C$7*'Key Variables'!$C$57/100</f>
        <v>4166.666666666667</v>
      </c>
      <c r="AI44" s="22">
        <f>AI4*'Key Variables'!$G$2*'Key Variables'!$C$7*'Key Variables'!$C$57/100</f>
        <v>4166.666666666667</v>
      </c>
      <c r="AJ44" s="22">
        <f>AJ4*'Key Variables'!$G$2*'Key Variables'!$C$7*'Key Variables'!$C$57/100</f>
        <v>4166.666666666667</v>
      </c>
      <c r="AK44" s="22">
        <f>AK4*'Key Variables'!$G$2*'Key Variables'!$C$7*'Key Variables'!$C$57/100</f>
        <v>4166.666666666667</v>
      </c>
      <c r="AL44" s="22">
        <f>AL4*'Key Variables'!$G$2*'Key Variables'!$C$7*'Key Variables'!$C$57/100</f>
        <v>5000</v>
      </c>
      <c r="AM44" s="22">
        <f>AM4*'Key Variables'!$G$2*'Key Variables'!$C$7*'Key Variables'!$C$57/100</f>
        <v>5000</v>
      </c>
      <c r="AN44" s="22">
        <f>AN4*'Key Variables'!$G$2*'Key Variables'!$C$7*'Key Variables'!$C$57/100</f>
        <v>5000</v>
      </c>
      <c r="AO44" s="22">
        <f>AO4*'Key Variables'!$G$2*'Key Variables'!$C$7*'Key Variables'!$C$57/100</f>
        <v>5000</v>
      </c>
      <c r="AP44" s="22">
        <f>AP4*'Key Variables'!$G$2*'Key Variables'!$C$7*'Key Variables'!$C$57/100</f>
        <v>5000</v>
      </c>
      <c r="AQ44" s="22">
        <f>AQ4*'Key Variables'!$G$2*'Key Variables'!$C$7*'Key Variables'!$C$57/100</f>
        <v>5000</v>
      </c>
      <c r="AR44" s="22">
        <f>AR4*'Key Variables'!$G$2*'Key Variables'!$C$7*'Key Variables'!$C$57/100</f>
        <v>5000</v>
      </c>
      <c r="AS44" s="22">
        <f>AS4*'Key Variables'!$G$2*'Key Variables'!$C$7*'Key Variables'!$C$57/100</f>
        <v>5000</v>
      </c>
      <c r="AT44" s="22">
        <f>AT4*'Key Variables'!$G$2*'Key Variables'!$C$7*'Key Variables'!$C$57/100</f>
        <v>5000</v>
      </c>
      <c r="AU44" s="22">
        <f>AU4*'Key Variables'!$G$2*'Key Variables'!$C$7*'Key Variables'!$C$57/100</f>
        <v>5000</v>
      </c>
      <c r="AV44" s="22">
        <f>AV4*'Key Variables'!$G$2*'Key Variables'!$C$7*'Key Variables'!$C$57/100</f>
        <v>5000</v>
      </c>
      <c r="AW44" s="22">
        <f>AW4*'Key Variables'!$G$2*'Key Variables'!$C$7*'Key Variables'!$C$57/100</f>
        <v>5000</v>
      </c>
      <c r="AX44" s="4">
        <f t="shared" si="38"/>
        <v>180000.00000000006</v>
      </c>
      <c r="AY44" s="22">
        <f>AX44/AW20</f>
        <v>80</v>
      </c>
    </row>
    <row r="45" spans="1:51" s="21" customFormat="1" hidden="1" x14ac:dyDescent="0.25">
      <c r="A45" s="21" t="s">
        <v>27</v>
      </c>
      <c r="B45" s="22">
        <f>B4*'Key Variables'!$G$4*'Key Variables'!$C$7*'Key Variables'!$C$57/100</f>
        <v>1250</v>
      </c>
      <c r="C45" s="22">
        <f>C4*'Key Variables'!$G$4*'Key Variables'!$C$7*'Key Variables'!$C$57/100</f>
        <v>1250</v>
      </c>
      <c r="D45" s="22">
        <f>D4*'Key Variables'!$G$4*'Key Variables'!$C$7*'Key Variables'!$C$57/100</f>
        <v>1250</v>
      </c>
      <c r="E45" s="22">
        <f>E4*'Key Variables'!$G$4*'Key Variables'!$C$7*'Key Variables'!$C$57/100</f>
        <v>1250</v>
      </c>
      <c r="F45" s="22">
        <f>F4*'Key Variables'!$G$4*'Key Variables'!$C$7*'Key Variables'!$C$57/100</f>
        <v>1250</v>
      </c>
      <c r="G45" s="22">
        <f>G4*'Key Variables'!$G$4*'Key Variables'!$C$7*'Key Variables'!$C$57/100</f>
        <v>1250</v>
      </c>
      <c r="H45" s="22">
        <f>H4*'Key Variables'!$G$4*'Key Variables'!$C$7*'Key Variables'!$C$57/100</f>
        <v>1250</v>
      </c>
      <c r="I45" s="22">
        <f>I4*'Key Variables'!$G$4*'Key Variables'!$C$7*'Key Variables'!$C$57/100</f>
        <v>1250</v>
      </c>
      <c r="J45" s="22">
        <f>J4*'Key Variables'!$G$4*'Key Variables'!$C$7*'Key Variables'!$C$57/100</f>
        <v>1250</v>
      </c>
      <c r="K45" s="22">
        <f>K4*'Key Variables'!$G$4*'Key Variables'!$C$7*'Key Variables'!$C$57/100</f>
        <v>1250</v>
      </c>
      <c r="L45" s="22">
        <f>L4*'Key Variables'!$G$4*'Key Variables'!$C$7*'Key Variables'!$C$57/100</f>
        <v>1250</v>
      </c>
      <c r="M45" s="22">
        <f>M4*'Key Variables'!$G$4*'Key Variables'!$C$7*'Key Variables'!$C$57/100</f>
        <v>1250</v>
      </c>
      <c r="N45" s="22">
        <f>N4*'Key Variables'!$G$4*'Key Variables'!$C$7*'Key Variables'!$C$57/100</f>
        <v>1666.666666666667</v>
      </c>
      <c r="O45" s="22">
        <f>O4*'Key Variables'!$G$4*'Key Variables'!$C$7*'Key Variables'!$C$57/100</f>
        <v>1666.666666666667</v>
      </c>
      <c r="P45" s="22">
        <f>P4*'Key Variables'!$G$4*'Key Variables'!$C$7*'Key Variables'!$C$57/100</f>
        <v>1666.666666666667</v>
      </c>
      <c r="Q45" s="22">
        <f>Q4*'Key Variables'!$G$4*'Key Variables'!$C$7*'Key Variables'!$C$57/100</f>
        <v>1666.666666666667</v>
      </c>
      <c r="R45" s="22">
        <f>R4*'Key Variables'!$G$4*'Key Variables'!$C$7*'Key Variables'!$C$57/100</f>
        <v>1666.666666666667</v>
      </c>
      <c r="S45" s="22">
        <f>S4*'Key Variables'!$G$4*'Key Variables'!$C$7*'Key Variables'!$C$57/100</f>
        <v>1666.666666666667</v>
      </c>
      <c r="T45" s="22">
        <f>T4*'Key Variables'!$G$4*'Key Variables'!$C$7*'Key Variables'!$C$57/100</f>
        <v>1666.666666666667</v>
      </c>
      <c r="U45" s="22">
        <f>U4*'Key Variables'!$G$4*'Key Variables'!$C$7*'Key Variables'!$C$57/100</f>
        <v>1666.666666666667</v>
      </c>
      <c r="V45" s="22">
        <f>V4*'Key Variables'!$G$4*'Key Variables'!$C$7*'Key Variables'!$C$57/100</f>
        <v>1666.666666666667</v>
      </c>
      <c r="W45" s="22">
        <f>W4*'Key Variables'!$G$4*'Key Variables'!$C$7*'Key Variables'!$C$57/100</f>
        <v>1666.666666666667</v>
      </c>
      <c r="X45" s="22">
        <f>X4*'Key Variables'!$G$4*'Key Variables'!$C$7*'Key Variables'!$C$57/100</f>
        <v>1666.666666666667</v>
      </c>
      <c r="Y45" s="22">
        <f>Y4*'Key Variables'!$G$4*'Key Variables'!$C$7*'Key Variables'!$C$57/100</f>
        <v>1666.666666666667</v>
      </c>
      <c r="Z45" s="22">
        <f>Z4*'Key Variables'!$G$4*'Key Variables'!$C$7*'Key Variables'!$C$57/100</f>
        <v>2083.3333333333335</v>
      </c>
      <c r="AA45" s="22">
        <f>AA4*'Key Variables'!$G$4*'Key Variables'!$C$7*'Key Variables'!$C$57/100</f>
        <v>2083.3333333333335</v>
      </c>
      <c r="AB45" s="22">
        <f>AB4*'Key Variables'!$G$4*'Key Variables'!$C$7*'Key Variables'!$C$57/100</f>
        <v>2083.3333333333335</v>
      </c>
      <c r="AC45" s="22">
        <f>AC4*'Key Variables'!$G$4*'Key Variables'!$C$7*'Key Variables'!$C$57/100</f>
        <v>2083.3333333333335</v>
      </c>
      <c r="AD45" s="22">
        <f>AD4*'Key Variables'!$G$4*'Key Variables'!$C$7*'Key Variables'!$C$57/100</f>
        <v>2083.3333333333335</v>
      </c>
      <c r="AE45" s="22">
        <f>AE4*'Key Variables'!$G$4*'Key Variables'!$C$7*'Key Variables'!$C$57/100</f>
        <v>2083.3333333333335</v>
      </c>
      <c r="AF45" s="22">
        <f>AF4*'Key Variables'!$G$4*'Key Variables'!$C$7*'Key Variables'!$C$57/100</f>
        <v>2083.3333333333335</v>
      </c>
      <c r="AG45" s="22">
        <f>AG4*'Key Variables'!$G$4*'Key Variables'!$C$7*'Key Variables'!$C$57/100</f>
        <v>2083.3333333333335</v>
      </c>
      <c r="AH45" s="22">
        <f>AH4*'Key Variables'!$G$4*'Key Variables'!$C$7*'Key Variables'!$C$57/100</f>
        <v>2083.3333333333335</v>
      </c>
      <c r="AI45" s="22">
        <f>AI4*'Key Variables'!$G$4*'Key Variables'!$C$7*'Key Variables'!$C$57/100</f>
        <v>2083.3333333333335</v>
      </c>
      <c r="AJ45" s="22">
        <f>AJ4*'Key Variables'!$G$4*'Key Variables'!$C$7*'Key Variables'!$C$57/100</f>
        <v>2083.3333333333335</v>
      </c>
      <c r="AK45" s="22">
        <f>AK4*'Key Variables'!$G$4*'Key Variables'!$C$7*'Key Variables'!$C$57/100</f>
        <v>2083.3333333333335</v>
      </c>
      <c r="AL45" s="22">
        <f>AL4*'Key Variables'!$G$4*'Key Variables'!$C$7*'Key Variables'!$C$57/100</f>
        <v>2500</v>
      </c>
      <c r="AM45" s="22">
        <f>AM4*'Key Variables'!$G$4*'Key Variables'!$C$7*'Key Variables'!$C$57/100</f>
        <v>2500</v>
      </c>
      <c r="AN45" s="22">
        <f>AN4*'Key Variables'!$G$4*'Key Variables'!$C$7*'Key Variables'!$C$57/100</f>
        <v>2500</v>
      </c>
      <c r="AO45" s="22">
        <f>AO4*'Key Variables'!$G$4*'Key Variables'!$C$7*'Key Variables'!$C$57/100</f>
        <v>2500</v>
      </c>
      <c r="AP45" s="22">
        <f>AP4*'Key Variables'!$G$4*'Key Variables'!$C$7*'Key Variables'!$C$57/100</f>
        <v>2500</v>
      </c>
      <c r="AQ45" s="22">
        <f>AQ4*'Key Variables'!$G$4*'Key Variables'!$C$7*'Key Variables'!$C$57/100</f>
        <v>2500</v>
      </c>
      <c r="AR45" s="22">
        <f>AR4*'Key Variables'!$G$4*'Key Variables'!$C$7*'Key Variables'!$C$57/100</f>
        <v>2500</v>
      </c>
      <c r="AS45" s="22">
        <f>AS4*'Key Variables'!$G$4*'Key Variables'!$C$7*'Key Variables'!$C$57/100</f>
        <v>2500</v>
      </c>
      <c r="AT45" s="22">
        <f>AT4*'Key Variables'!$G$4*'Key Variables'!$C$7*'Key Variables'!$C$57/100</f>
        <v>2500</v>
      </c>
      <c r="AU45" s="22">
        <f>AU4*'Key Variables'!$G$4*'Key Variables'!$C$7*'Key Variables'!$C$57/100</f>
        <v>2500</v>
      </c>
      <c r="AV45" s="22">
        <f>AV4*'Key Variables'!$G$4*'Key Variables'!$C$7*'Key Variables'!$C$57/100</f>
        <v>2500</v>
      </c>
      <c r="AW45" s="22">
        <f>AW4*'Key Variables'!$G$4*'Key Variables'!$C$7*'Key Variables'!$C$57/100</f>
        <v>2500</v>
      </c>
      <c r="AX45" s="4">
        <f t="shared" si="38"/>
        <v>90000.000000000029</v>
      </c>
      <c r="AY45" s="259">
        <f>AX45/AW20</f>
        <v>40</v>
      </c>
    </row>
    <row r="46" spans="1:51" hidden="1" x14ac:dyDescent="0.25">
      <c r="N46" s="6"/>
    </row>
    <row r="47" spans="1:51" hidden="1" x14ac:dyDescent="0.25">
      <c r="A47" s="1" t="s">
        <v>44</v>
      </c>
      <c r="B47" s="4">
        <f>'Key Variables'!$G$90/12</f>
        <v>0</v>
      </c>
      <c r="C47" s="4">
        <f>'Key Variables'!$G$90/12</f>
        <v>0</v>
      </c>
      <c r="D47" s="4">
        <f>'Key Variables'!$G$90/12</f>
        <v>0</v>
      </c>
      <c r="E47" s="4">
        <f>'Key Variables'!$G$90/12</f>
        <v>0</v>
      </c>
      <c r="F47" s="4">
        <f>'Key Variables'!$G$90/12</f>
        <v>0</v>
      </c>
      <c r="G47" s="4">
        <f>'Key Variables'!$G$90/12</f>
        <v>0</v>
      </c>
      <c r="H47" s="4">
        <f>'Key Variables'!$G$90/12</f>
        <v>0</v>
      </c>
      <c r="I47" s="4">
        <f>'Key Variables'!$G$90/12</f>
        <v>0</v>
      </c>
      <c r="J47" s="4">
        <f>'Key Variables'!$G$90/12</f>
        <v>0</v>
      </c>
      <c r="K47" s="4">
        <f>'Key Variables'!$G$90/12</f>
        <v>0</v>
      </c>
      <c r="L47" s="4">
        <f>'Key Variables'!$G$90/12</f>
        <v>0</v>
      </c>
      <c r="M47" s="4">
        <f>'Key Variables'!$G$90/12</f>
        <v>0</v>
      </c>
      <c r="N47" s="4">
        <f>'Key Variables'!$I$90/12</f>
        <v>0</v>
      </c>
      <c r="O47" s="4">
        <f>'Key Variables'!$I$90/12</f>
        <v>0</v>
      </c>
      <c r="P47" s="4">
        <f>'Key Variables'!$I$90/12</f>
        <v>0</v>
      </c>
      <c r="Q47" s="4">
        <f>'Key Variables'!$I$90/12</f>
        <v>0</v>
      </c>
      <c r="R47" s="4">
        <f>'Key Variables'!$I$90/12</f>
        <v>0</v>
      </c>
      <c r="S47" s="4">
        <f>'Key Variables'!$I$90/12</f>
        <v>0</v>
      </c>
      <c r="T47" s="4">
        <f>'Key Variables'!$I$90/12</f>
        <v>0</v>
      </c>
      <c r="U47" s="4">
        <f>'Key Variables'!$I$90/12</f>
        <v>0</v>
      </c>
      <c r="V47" s="4">
        <f>'Key Variables'!$I$90/12</f>
        <v>0</v>
      </c>
      <c r="W47" s="4">
        <f>'Key Variables'!$I$90/12</f>
        <v>0</v>
      </c>
      <c r="X47" s="4">
        <f>'Key Variables'!$I$90/12</f>
        <v>0</v>
      </c>
      <c r="Y47" s="4">
        <f>'Key Variables'!$I$90/12</f>
        <v>0</v>
      </c>
      <c r="Z47" s="4">
        <f>'Key Variables'!$J$90/12</f>
        <v>0</v>
      </c>
      <c r="AA47" s="4">
        <f>'Key Variables'!$J$90/12</f>
        <v>0</v>
      </c>
      <c r="AB47" s="4">
        <f>'Key Variables'!$J$90/12</f>
        <v>0</v>
      </c>
      <c r="AC47" s="4">
        <f>'Key Variables'!$J$90/12</f>
        <v>0</v>
      </c>
      <c r="AD47" s="4">
        <f>'Key Variables'!$J$90/12</f>
        <v>0</v>
      </c>
      <c r="AE47" s="4">
        <f>'Key Variables'!$J$90/12</f>
        <v>0</v>
      </c>
      <c r="AF47" s="4">
        <f>'Key Variables'!$J$90/12</f>
        <v>0</v>
      </c>
      <c r="AG47" s="4">
        <f>'Key Variables'!$J$90/12</f>
        <v>0</v>
      </c>
      <c r="AH47" s="4">
        <f>'Key Variables'!$J$90/12</f>
        <v>0</v>
      </c>
      <c r="AI47" s="4">
        <f>'Key Variables'!$J$90/12</f>
        <v>0</v>
      </c>
      <c r="AJ47" s="4">
        <f>'Key Variables'!$J$90/12</f>
        <v>0</v>
      </c>
      <c r="AK47" s="4">
        <f>'Key Variables'!$J$90/12</f>
        <v>0</v>
      </c>
      <c r="AL47" s="4">
        <f>'Key Variables'!$K$90/12</f>
        <v>0</v>
      </c>
      <c r="AM47" s="4">
        <f>'Key Variables'!$K$90/12</f>
        <v>0</v>
      </c>
      <c r="AN47" s="4">
        <f>'Key Variables'!$K$90/12</f>
        <v>0</v>
      </c>
      <c r="AO47" s="4">
        <f>'Key Variables'!$K$90/12</f>
        <v>0</v>
      </c>
      <c r="AP47" s="4">
        <f>'Key Variables'!$K$90/12</f>
        <v>0</v>
      </c>
      <c r="AQ47" s="4">
        <f>'Key Variables'!$K$90/12</f>
        <v>0</v>
      </c>
      <c r="AR47" s="4">
        <f>'Key Variables'!$K$90/12</f>
        <v>0</v>
      </c>
      <c r="AS47" s="4">
        <f>'Key Variables'!$K$90/12</f>
        <v>0</v>
      </c>
      <c r="AT47" s="4">
        <f>'Key Variables'!$K$90/12</f>
        <v>0</v>
      </c>
      <c r="AU47" s="4">
        <f>'Key Variables'!$K$90/12</f>
        <v>0</v>
      </c>
      <c r="AV47" s="4">
        <f>'Key Variables'!$K$90/12</f>
        <v>0</v>
      </c>
      <c r="AW47" s="4">
        <f>'Key Variables'!$K$90/12</f>
        <v>0</v>
      </c>
    </row>
    <row r="48" spans="1:51" hidden="1" x14ac:dyDescent="0.25">
      <c r="A48" s="1" t="s">
        <v>43</v>
      </c>
      <c r="B48" s="4">
        <f>'Key Variables'!$G$15/12</f>
        <v>41621.354166666664</v>
      </c>
      <c r="C48" s="4">
        <f>'Key Variables'!$G$15/12</f>
        <v>41621.354166666664</v>
      </c>
      <c r="D48" s="4">
        <f>'Key Variables'!$G$15/12</f>
        <v>41621.354166666664</v>
      </c>
      <c r="E48" s="4">
        <f>'Key Variables'!$G$15/12</f>
        <v>41621.354166666664</v>
      </c>
      <c r="F48" s="4">
        <f>'Key Variables'!$G$15/12</f>
        <v>41621.354166666664</v>
      </c>
      <c r="G48" s="4">
        <f>'Key Variables'!$G$15/12</f>
        <v>41621.354166666664</v>
      </c>
      <c r="H48" s="4">
        <f>'Key Variables'!$G$15/12</f>
        <v>41621.354166666664</v>
      </c>
      <c r="I48" s="4">
        <f>'Key Variables'!$G$15/12</f>
        <v>41621.354166666664</v>
      </c>
      <c r="J48" s="4">
        <f>'Key Variables'!$G$15/12</f>
        <v>41621.354166666664</v>
      </c>
      <c r="K48" s="4">
        <f>'Key Variables'!$G$15/12</f>
        <v>41621.354166666664</v>
      </c>
      <c r="L48" s="4">
        <f>'Key Variables'!$G$15/12</f>
        <v>41621.354166666664</v>
      </c>
      <c r="M48" s="4">
        <f>'Key Variables'!$G$15/12</f>
        <v>41621.354166666664</v>
      </c>
      <c r="N48" s="4">
        <f>'Key Variables'!$H$15/12</f>
        <v>64880.034722222226</v>
      </c>
      <c r="O48" s="4">
        <f>'Key Variables'!$H$15/12</f>
        <v>64880.034722222226</v>
      </c>
      <c r="P48" s="4">
        <f>'Key Variables'!$H$15/12</f>
        <v>64880.034722222226</v>
      </c>
      <c r="Q48" s="4">
        <f>'Key Variables'!$H$15/12</f>
        <v>64880.034722222226</v>
      </c>
      <c r="R48" s="4">
        <f>'Key Variables'!$H$15/12</f>
        <v>64880.034722222226</v>
      </c>
      <c r="S48" s="4">
        <f>'Key Variables'!$H$15/12</f>
        <v>64880.034722222226</v>
      </c>
      <c r="T48" s="4">
        <f>'Key Variables'!$H$15/12</f>
        <v>64880.034722222226</v>
      </c>
      <c r="U48" s="4">
        <f>'Key Variables'!$H$15/12</f>
        <v>64880.034722222226</v>
      </c>
      <c r="V48" s="4">
        <f>'Key Variables'!$H$15/12</f>
        <v>64880.034722222226</v>
      </c>
      <c r="W48" s="4">
        <f>'Key Variables'!$H$15/12</f>
        <v>64880.034722222226</v>
      </c>
      <c r="X48" s="4">
        <f>'Key Variables'!$H$15/12</f>
        <v>64880.034722222226</v>
      </c>
      <c r="Y48" s="4">
        <f>'Key Variables'!$H$15/12</f>
        <v>64880.034722222226</v>
      </c>
      <c r="Z48" s="4">
        <f>'Key Variables'!$J$15/12</f>
        <v>68499.088541666672</v>
      </c>
      <c r="AA48" s="4">
        <f>'Key Variables'!$J$15/12</f>
        <v>68499.088541666672</v>
      </c>
      <c r="AB48" s="4">
        <f>'Key Variables'!$J$15/12</f>
        <v>68499.088541666672</v>
      </c>
      <c r="AC48" s="4">
        <f>'Key Variables'!$J$15/12</f>
        <v>68499.088541666672</v>
      </c>
      <c r="AD48" s="4">
        <f>'Key Variables'!$J$15/12</f>
        <v>68499.088541666672</v>
      </c>
      <c r="AE48" s="4">
        <f>'Key Variables'!$J$15/12</f>
        <v>68499.088541666672</v>
      </c>
      <c r="AF48" s="4">
        <f>'Key Variables'!$J$15/12</f>
        <v>68499.088541666672</v>
      </c>
      <c r="AG48" s="4">
        <f>'Key Variables'!$J$15/12</f>
        <v>68499.088541666672</v>
      </c>
      <c r="AH48" s="4">
        <f>'Key Variables'!$J$15/12</f>
        <v>68499.088541666672</v>
      </c>
      <c r="AI48" s="4">
        <f>'Key Variables'!$J$15/12</f>
        <v>68499.088541666672</v>
      </c>
      <c r="AJ48" s="4">
        <f>'Key Variables'!$J$15/12</f>
        <v>68499.088541666672</v>
      </c>
      <c r="AK48" s="4">
        <f>'Key Variables'!$J$15/12</f>
        <v>68499.088541666672</v>
      </c>
      <c r="AL48" s="4">
        <f>'Key Variables'!$K$15/12</f>
        <v>90700.651041666672</v>
      </c>
      <c r="AM48" s="4">
        <f>'Key Variables'!$K$15/12</f>
        <v>90700.651041666672</v>
      </c>
      <c r="AN48" s="4">
        <f>'Key Variables'!$K$15/12</f>
        <v>90700.651041666672</v>
      </c>
      <c r="AO48" s="4">
        <f>'Key Variables'!$K$15/12</f>
        <v>90700.651041666672</v>
      </c>
      <c r="AP48" s="4">
        <f>'Key Variables'!$K$15/12</f>
        <v>90700.651041666672</v>
      </c>
      <c r="AQ48" s="4">
        <f>'Key Variables'!$K$15/12</f>
        <v>90700.651041666672</v>
      </c>
      <c r="AR48" s="4">
        <f>'Key Variables'!$K$15/12</f>
        <v>90700.651041666672</v>
      </c>
      <c r="AS48" s="4">
        <f>'Key Variables'!$K$15/12</f>
        <v>90700.651041666672</v>
      </c>
      <c r="AT48" s="4">
        <f>'Key Variables'!$K$15/12</f>
        <v>90700.651041666672</v>
      </c>
      <c r="AU48" s="4">
        <f>'Key Variables'!$K$15/12</f>
        <v>90700.651041666672</v>
      </c>
      <c r="AV48" s="4">
        <f>'Key Variables'!$K$15/12</f>
        <v>90700.651041666672</v>
      </c>
      <c r="AW48" s="4">
        <f>'Key Variables'!$K$15/12</f>
        <v>90700.651041666672</v>
      </c>
    </row>
    <row r="49" spans="1:49" hidden="1" x14ac:dyDescent="0.25">
      <c r="A49" s="1" t="s">
        <v>56</v>
      </c>
      <c r="B49" s="4">
        <f>'"Fine Tune" Variables'!$G$4/12</f>
        <v>0</v>
      </c>
      <c r="C49" s="4">
        <f>'"Fine Tune" Variables'!$G$4/12</f>
        <v>0</v>
      </c>
      <c r="D49" s="4">
        <f>'"Fine Tune" Variables'!$G$4/12</f>
        <v>0</v>
      </c>
      <c r="E49" s="4">
        <f>'"Fine Tune" Variables'!$G$4/12</f>
        <v>0</v>
      </c>
      <c r="F49" s="4">
        <f>'"Fine Tune" Variables'!$G$4/12</f>
        <v>0</v>
      </c>
      <c r="G49" s="4">
        <f>'"Fine Tune" Variables'!$G$4/12</f>
        <v>0</v>
      </c>
      <c r="H49" s="4">
        <f>'"Fine Tune" Variables'!$G$4/12</f>
        <v>0</v>
      </c>
      <c r="I49" s="4">
        <f>'"Fine Tune" Variables'!$G$4/12</f>
        <v>0</v>
      </c>
      <c r="J49" s="4">
        <f>'"Fine Tune" Variables'!$G$4/12</f>
        <v>0</v>
      </c>
      <c r="K49" s="4">
        <f>'"Fine Tune" Variables'!$G$4/12</f>
        <v>0</v>
      </c>
      <c r="L49" s="4">
        <f>'"Fine Tune" Variables'!$G$4/12</f>
        <v>0</v>
      </c>
      <c r="M49" s="4">
        <f>'"Fine Tune" Variables'!$G$4/12</f>
        <v>0</v>
      </c>
      <c r="N49" s="4">
        <f>'"Fine Tune" Variables'!$H$4/12</f>
        <v>0</v>
      </c>
      <c r="O49" s="4">
        <f>'"Fine Tune" Variables'!$H$4/12</f>
        <v>0</v>
      </c>
      <c r="P49" s="4">
        <f>'"Fine Tune" Variables'!$H$4/12</f>
        <v>0</v>
      </c>
      <c r="Q49" s="4">
        <f>'"Fine Tune" Variables'!$H$4/12</f>
        <v>0</v>
      </c>
      <c r="R49" s="4">
        <f>'"Fine Tune" Variables'!$H$4/12</f>
        <v>0</v>
      </c>
      <c r="S49" s="4">
        <f>'"Fine Tune" Variables'!$H$4/12</f>
        <v>0</v>
      </c>
      <c r="T49" s="4">
        <f>'"Fine Tune" Variables'!$H$4/12</f>
        <v>0</v>
      </c>
      <c r="U49" s="4">
        <f>'"Fine Tune" Variables'!$H$4/12</f>
        <v>0</v>
      </c>
      <c r="V49" s="4">
        <f>'"Fine Tune" Variables'!$H$4/12</f>
        <v>0</v>
      </c>
      <c r="W49" s="4">
        <f>'"Fine Tune" Variables'!$H$4/12</f>
        <v>0</v>
      </c>
      <c r="X49" s="4">
        <f>'"Fine Tune" Variables'!$H$4/12</f>
        <v>0</v>
      </c>
      <c r="Y49" s="4">
        <f>'"Fine Tune" Variables'!$H$4/12</f>
        <v>0</v>
      </c>
      <c r="Z49" s="4">
        <f>'"Fine Tune" Variables'!$I$4/12</f>
        <v>0</v>
      </c>
      <c r="AA49" s="4">
        <f>'"Fine Tune" Variables'!$I$4/12</f>
        <v>0</v>
      </c>
      <c r="AB49" s="4">
        <f>'"Fine Tune" Variables'!$I$4/12</f>
        <v>0</v>
      </c>
      <c r="AC49" s="4">
        <f>'"Fine Tune" Variables'!$I$4/12</f>
        <v>0</v>
      </c>
      <c r="AD49" s="4">
        <f>'"Fine Tune" Variables'!$I$4/12</f>
        <v>0</v>
      </c>
      <c r="AE49" s="4">
        <f>'"Fine Tune" Variables'!$I$4/12</f>
        <v>0</v>
      </c>
      <c r="AF49" s="4">
        <f>'"Fine Tune" Variables'!$I$4/12</f>
        <v>0</v>
      </c>
      <c r="AG49" s="4">
        <f>'"Fine Tune" Variables'!$I$4/12</f>
        <v>0</v>
      </c>
      <c r="AH49" s="4">
        <f>'"Fine Tune" Variables'!$I$4/12</f>
        <v>0</v>
      </c>
      <c r="AI49" s="4">
        <f>'"Fine Tune" Variables'!$I$4/12</f>
        <v>0</v>
      </c>
      <c r="AJ49" s="4">
        <f>'"Fine Tune" Variables'!$I$4/12</f>
        <v>0</v>
      </c>
      <c r="AK49" s="4">
        <f>'"Fine Tune" Variables'!$I$4/12</f>
        <v>0</v>
      </c>
      <c r="AL49" s="4">
        <f>'"Fine Tune" Variables'!$J$4/12</f>
        <v>0</v>
      </c>
      <c r="AM49" s="4">
        <f>'"Fine Tune" Variables'!$J$4/12</f>
        <v>0</v>
      </c>
      <c r="AN49" s="4">
        <f>'"Fine Tune" Variables'!$J$4/12</f>
        <v>0</v>
      </c>
      <c r="AO49" s="4">
        <f>'"Fine Tune" Variables'!$J$4/12</f>
        <v>0</v>
      </c>
      <c r="AP49" s="4">
        <f>'"Fine Tune" Variables'!$J$4/12</f>
        <v>0</v>
      </c>
      <c r="AQ49" s="4">
        <f>'"Fine Tune" Variables'!$J$4/12</f>
        <v>0</v>
      </c>
      <c r="AR49" s="4">
        <f>'"Fine Tune" Variables'!$J$4/12</f>
        <v>0</v>
      </c>
      <c r="AS49" s="4">
        <f>'"Fine Tune" Variables'!$J$4/12</f>
        <v>0</v>
      </c>
      <c r="AT49" s="4">
        <f>'"Fine Tune" Variables'!$J$4/12</f>
        <v>0</v>
      </c>
      <c r="AU49" s="4">
        <f>'"Fine Tune" Variables'!$J$4/12</f>
        <v>0</v>
      </c>
      <c r="AV49" s="4">
        <f>'"Fine Tune" Variables'!$J$4/12</f>
        <v>0</v>
      </c>
      <c r="AW49" s="4">
        <f>'"Fine Tune" Variables'!$J$4/12</f>
        <v>0</v>
      </c>
    </row>
    <row r="50" spans="1:49" hidden="1" x14ac:dyDescent="0.25">
      <c r="A50" s="1" t="s">
        <v>21</v>
      </c>
      <c r="B50" s="4"/>
      <c r="C50" s="4"/>
      <c r="D50" s="4"/>
      <c r="E50" s="4"/>
      <c r="F50" s="4"/>
      <c r="G50" s="4"/>
      <c r="H50" s="4"/>
      <c r="I50" s="4"/>
      <c r="J50" s="4"/>
      <c r="K50" s="4"/>
      <c r="L50" s="4"/>
      <c r="M50" s="4"/>
      <c r="N50" s="4">
        <f>((B17)*'"Fine Tune" Variables'!$C$7/12)</f>
        <v>0</v>
      </c>
      <c r="O50" s="4">
        <f>((C17)*'"Fine Tune" Variables'!$C$7/12)</f>
        <v>0</v>
      </c>
      <c r="P50" s="4">
        <f>((D17)*'"Fine Tune" Variables'!$C$7/12)</f>
        <v>0</v>
      </c>
      <c r="Q50" s="4">
        <f>((E17)*'"Fine Tune" Variables'!$C$7/12)</f>
        <v>0</v>
      </c>
      <c r="R50" s="4">
        <f>((F17)*'"Fine Tune" Variables'!$C$7/12)</f>
        <v>0</v>
      </c>
      <c r="S50" s="4">
        <f>((G17)*'"Fine Tune" Variables'!$C$7/12)</f>
        <v>0</v>
      </c>
      <c r="T50" s="4">
        <f>((H17)*'"Fine Tune" Variables'!$C$7/12)</f>
        <v>0</v>
      </c>
      <c r="U50" s="4">
        <f>((I17)*'"Fine Tune" Variables'!$C$7/12)</f>
        <v>0</v>
      </c>
      <c r="V50" s="4">
        <f>((J17)*'"Fine Tune" Variables'!$C$7/12)</f>
        <v>0</v>
      </c>
      <c r="W50" s="4">
        <f>((K17)*'"Fine Tune" Variables'!$C$7/12)</f>
        <v>0</v>
      </c>
      <c r="X50" s="4">
        <f>((L17)*'"Fine Tune" Variables'!$C$7/12)</f>
        <v>0</v>
      </c>
      <c r="Y50" s="4">
        <f>((M17)*'"Fine Tune" Variables'!$C$7/12)</f>
        <v>0</v>
      </c>
      <c r="Z50" s="4">
        <f>((N17)*'"Fine Tune" Variables'!$C$7/12)</f>
        <v>0</v>
      </c>
      <c r="AA50" s="4">
        <f>((O17)*'"Fine Tune" Variables'!$C$7/12)</f>
        <v>0</v>
      </c>
      <c r="AB50" s="4">
        <f>((P17)*'"Fine Tune" Variables'!$C$7/12)</f>
        <v>0</v>
      </c>
      <c r="AC50" s="4">
        <f>((Q17)*'"Fine Tune" Variables'!$C$7/12)</f>
        <v>0</v>
      </c>
      <c r="AD50" s="4">
        <f>((R17)*'"Fine Tune" Variables'!$C$7/12)</f>
        <v>0</v>
      </c>
      <c r="AE50" s="4">
        <f>((S17)*'"Fine Tune" Variables'!$C$7/12)</f>
        <v>0</v>
      </c>
      <c r="AF50" s="4">
        <f>((T17)*'"Fine Tune" Variables'!$C$7/12)</f>
        <v>0</v>
      </c>
      <c r="AG50" s="4">
        <f>((U17)*'"Fine Tune" Variables'!$C$7/12)</f>
        <v>0</v>
      </c>
      <c r="AH50" s="4">
        <f>((V17)*'"Fine Tune" Variables'!$C$7/12)</f>
        <v>0</v>
      </c>
      <c r="AI50" s="4">
        <f>((W17)*'"Fine Tune" Variables'!$C$7/12)</f>
        <v>0</v>
      </c>
      <c r="AJ50" s="4">
        <f>((X17)*'"Fine Tune" Variables'!$C$7/12)</f>
        <v>0</v>
      </c>
      <c r="AK50" s="4">
        <f>((Y17)*'"Fine Tune" Variables'!$C$7/12)</f>
        <v>0</v>
      </c>
      <c r="AL50" s="4">
        <f>((Z17)*'"Fine Tune" Variables'!$C$7/12)</f>
        <v>0</v>
      </c>
      <c r="AM50" s="4">
        <f>((AA17)*'"Fine Tune" Variables'!$C$7/12)</f>
        <v>0</v>
      </c>
      <c r="AN50" s="4">
        <f>((AB17)*'"Fine Tune" Variables'!$C$7/12)</f>
        <v>0</v>
      </c>
      <c r="AO50" s="4">
        <f>((AC17)*'"Fine Tune" Variables'!$C$7/12)</f>
        <v>0</v>
      </c>
      <c r="AP50" s="4">
        <f>((AD17)*'"Fine Tune" Variables'!$C$7/12)</f>
        <v>0</v>
      </c>
      <c r="AQ50" s="4">
        <f>((AE17)*'"Fine Tune" Variables'!$C$7/12)</f>
        <v>0</v>
      </c>
      <c r="AR50" s="4">
        <f>((AF17)*'"Fine Tune" Variables'!$C$7/12)</f>
        <v>0</v>
      </c>
      <c r="AS50" s="4">
        <f>((AG17)*'"Fine Tune" Variables'!$C$7/12)</f>
        <v>0</v>
      </c>
      <c r="AT50" s="4">
        <f>((AH17)*'"Fine Tune" Variables'!$C$7/12)</f>
        <v>0</v>
      </c>
      <c r="AU50" s="4">
        <f>((AI17)*'"Fine Tune" Variables'!$C$7/12)</f>
        <v>0</v>
      </c>
      <c r="AV50" s="4">
        <f>((AJ17)*'"Fine Tune" Variables'!$C$7/12)</f>
        <v>0</v>
      </c>
      <c r="AW50" s="4">
        <f>((AK17)*'"Fine Tune" Variables'!$C$7/12)</f>
        <v>0</v>
      </c>
    </row>
    <row r="51" spans="1:49" hidden="1" x14ac:dyDescent="0.25">
      <c r="A51" s="1" t="s">
        <v>22</v>
      </c>
      <c r="B51" s="4"/>
      <c r="C51" s="4"/>
      <c r="D51" s="4"/>
      <c r="E51" s="4"/>
      <c r="F51" s="4"/>
      <c r="G51" s="4"/>
      <c r="H51" s="4"/>
      <c r="I51" s="4"/>
      <c r="J51" s="4"/>
      <c r="K51" s="4"/>
      <c r="L51" s="4"/>
      <c r="M51" s="4"/>
      <c r="N51" s="4">
        <f>((B17)*'"Fine Tune" Variables'!$C$13/12)</f>
        <v>0</v>
      </c>
      <c r="O51" s="4">
        <f>((C17)*'"Fine Tune" Variables'!$C$13/12)</f>
        <v>0</v>
      </c>
      <c r="P51" s="4">
        <f>((D17)*'"Fine Tune" Variables'!$C$13/12)</f>
        <v>0</v>
      </c>
      <c r="Q51" s="4">
        <f>((E17)*'"Fine Tune" Variables'!$C$13/12)</f>
        <v>0</v>
      </c>
      <c r="R51" s="4">
        <f>((F17)*'"Fine Tune" Variables'!$C$13/12)</f>
        <v>0</v>
      </c>
      <c r="S51" s="4">
        <f>((G17)*'"Fine Tune" Variables'!$C$13/12)</f>
        <v>0</v>
      </c>
      <c r="T51" s="4">
        <f>((H17)*'"Fine Tune" Variables'!$C$13/12)</f>
        <v>0</v>
      </c>
      <c r="U51" s="4">
        <f>((I17)*'"Fine Tune" Variables'!$C$13/12)</f>
        <v>0</v>
      </c>
      <c r="V51" s="4">
        <f>((J17)*'"Fine Tune" Variables'!$C$13/12)</f>
        <v>0</v>
      </c>
      <c r="W51" s="4">
        <f>((K17)*'"Fine Tune" Variables'!$C$13/12)</f>
        <v>0</v>
      </c>
      <c r="X51" s="4">
        <f>((L17)*'"Fine Tune" Variables'!$C$13/12)</f>
        <v>0</v>
      </c>
      <c r="Y51" s="4">
        <f>((M17)*'"Fine Tune" Variables'!$C$13/12)</f>
        <v>0</v>
      </c>
      <c r="Z51" s="4">
        <f>((N17)*'"Fine Tune" Variables'!$C$13/12)</f>
        <v>0</v>
      </c>
      <c r="AA51" s="4">
        <f>((O17)*'"Fine Tune" Variables'!$C$13/12)</f>
        <v>0</v>
      </c>
      <c r="AB51" s="4">
        <f>((P17)*'"Fine Tune" Variables'!$C$13/12)</f>
        <v>0</v>
      </c>
      <c r="AC51" s="4">
        <f>((Q17)*'"Fine Tune" Variables'!$C$13/12)</f>
        <v>0</v>
      </c>
      <c r="AD51" s="4">
        <f>((R17)*'"Fine Tune" Variables'!$C$13/12)</f>
        <v>0</v>
      </c>
      <c r="AE51" s="4">
        <f>((S17)*'"Fine Tune" Variables'!$C$13/12)</f>
        <v>0</v>
      </c>
      <c r="AF51" s="4">
        <f>((T17)*'"Fine Tune" Variables'!$C$13/12)</f>
        <v>0</v>
      </c>
      <c r="AG51" s="4">
        <f>((U17)*'"Fine Tune" Variables'!$C$13/12)</f>
        <v>0</v>
      </c>
      <c r="AH51" s="4">
        <f>((V17)*'"Fine Tune" Variables'!$C$13/12)</f>
        <v>0</v>
      </c>
      <c r="AI51" s="4">
        <f>((W17)*'"Fine Tune" Variables'!$C$13/12)</f>
        <v>0</v>
      </c>
      <c r="AJ51" s="4">
        <f>((X17)*'"Fine Tune" Variables'!$C$13/12)</f>
        <v>0</v>
      </c>
      <c r="AK51" s="4">
        <f>((Y17)*'"Fine Tune" Variables'!$C$13/12)</f>
        <v>0</v>
      </c>
      <c r="AL51" s="4">
        <f>((Z17)*'"Fine Tune" Variables'!$C$13/12)</f>
        <v>0</v>
      </c>
      <c r="AM51" s="4">
        <f>((AA17)*'"Fine Tune" Variables'!$C$13/12)</f>
        <v>0</v>
      </c>
      <c r="AN51" s="4">
        <f>((AB17)*'"Fine Tune" Variables'!$C$13/12)</f>
        <v>0</v>
      </c>
      <c r="AO51" s="4">
        <f>((AC17)*'"Fine Tune" Variables'!$C$13/12)</f>
        <v>0</v>
      </c>
      <c r="AP51" s="4">
        <f>((AD17)*'"Fine Tune" Variables'!$C$13/12)</f>
        <v>0</v>
      </c>
      <c r="AQ51" s="4">
        <f>((AE17)*'"Fine Tune" Variables'!$C$13/12)</f>
        <v>0</v>
      </c>
      <c r="AR51" s="4">
        <f>((AF17)*'"Fine Tune" Variables'!$C$13/12)</f>
        <v>0</v>
      </c>
      <c r="AS51" s="4">
        <f>((AG17)*'"Fine Tune" Variables'!$C$13/12)</f>
        <v>0</v>
      </c>
      <c r="AT51" s="4">
        <f>((AH17)*'"Fine Tune" Variables'!$C$13/12)</f>
        <v>0</v>
      </c>
      <c r="AU51" s="4">
        <f>((AI17)*'"Fine Tune" Variables'!$C$13/12)</f>
        <v>0</v>
      </c>
      <c r="AV51" s="4">
        <f>((AJ17)*'"Fine Tune" Variables'!$C$13/12)</f>
        <v>0</v>
      </c>
      <c r="AW51" s="4">
        <f>((AK17)*'"Fine Tune" Variables'!$C$13/12)</f>
        <v>0</v>
      </c>
    </row>
    <row r="52" spans="1:49" hidden="1" x14ac:dyDescent="0.25">
      <c r="A52" s="1" t="s">
        <v>23</v>
      </c>
      <c r="B52" s="4">
        <f>'Key Variables'!$G$18/12</f>
        <v>6250</v>
      </c>
      <c r="C52" s="4">
        <f>'Key Variables'!$G$18/12</f>
        <v>6250</v>
      </c>
      <c r="D52" s="4">
        <f>'Key Variables'!$G$18/12</f>
        <v>6250</v>
      </c>
      <c r="E52" s="4">
        <f>'Key Variables'!$G$18/12</f>
        <v>6250</v>
      </c>
      <c r="F52" s="4">
        <f>'Key Variables'!$G$18/12</f>
        <v>6250</v>
      </c>
      <c r="G52" s="4">
        <f>'Key Variables'!$G$18/12</f>
        <v>6250</v>
      </c>
      <c r="H52" s="4">
        <f>'Key Variables'!$G$18/12</f>
        <v>6250</v>
      </c>
      <c r="I52" s="4">
        <f>'Key Variables'!$G$18/12</f>
        <v>6250</v>
      </c>
      <c r="J52" s="4">
        <f>'Key Variables'!$G$18/12</f>
        <v>6250</v>
      </c>
      <c r="K52" s="4">
        <f>'Key Variables'!$G$18/12</f>
        <v>6250</v>
      </c>
      <c r="L52" s="4">
        <f>'Key Variables'!$G$18/12</f>
        <v>6250</v>
      </c>
      <c r="M52" s="4">
        <f>'Key Variables'!$G$18/12</f>
        <v>6250</v>
      </c>
      <c r="N52" s="4">
        <f>'Key Variables'!$H$18/12</f>
        <v>6250</v>
      </c>
      <c r="O52" s="4">
        <f>'Key Variables'!$H$18/12</f>
        <v>6250</v>
      </c>
      <c r="P52" s="4">
        <f>'Key Variables'!$H$18/12</f>
        <v>6250</v>
      </c>
      <c r="Q52" s="4">
        <f>'Key Variables'!$H$18/12</f>
        <v>6250</v>
      </c>
      <c r="R52" s="4">
        <f>'Key Variables'!$H$18/12</f>
        <v>6250</v>
      </c>
      <c r="S52" s="4">
        <f>'Key Variables'!$H$18/12</f>
        <v>6250</v>
      </c>
      <c r="T52" s="4">
        <f>'Key Variables'!$H$18/12</f>
        <v>6250</v>
      </c>
      <c r="U52" s="4">
        <f>'Key Variables'!$H$18/12</f>
        <v>6250</v>
      </c>
      <c r="V52" s="4">
        <f>'Key Variables'!$H$18/12</f>
        <v>6250</v>
      </c>
      <c r="W52" s="4">
        <f>'Key Variables'!$H$18/12</f>
        <v>6250</v>
      </c>
      <c r="X52" s="4">
        <f>'Key Variables'!$H$18/12</f>
        <v>6250</v>
      </c>
      <c r="Y52" s="4">
        <f>'Key Variables'!$H$18/12</f>
        <v>6250</v>
      </c>
      <c r="Z52" s="4">
        <f>'Key Variables'!$J$18/12</f>
        <v>6250</v>
      </c>
      <c r="AA52" s="4">
        <f>'Key Variables'!$J$18/12</f>
        <v>6250</v>
      </c>
      <c r="AB52" s="4">
        <f>'Key Variables'!$J$18/12</f>
        <v>6250</v>
      </c>
      <c r="AC52" s="4">
        <f>'Key Variables'!$J$18/12</f>
        <v>6250</v>
      </c>
      <c r="AD52" s="4">
        <f>'Key Variables'!$J$18/12</f>
        <v>6250</v>
      </c>
      <c r="AE52" s="4">
        <f>'Key Variables'!$J$18/12</f>
        <v>6250</v>
      </c>
      <c r="AF52" s="4">
        <f>'Key Variables'!$J$18/12</f>
        <v>6250</v>
      </c>
      <c r="AG52" s="4">
        <f>'Key Variables'!$J$18/12</f>
        <v>6250</v>
      </c>
      <c r="AH52" s="4">
        <f>'Key Variables'!$J$18/12</f>
        <v>6250</v>
      </c>
      <c r="AI52" s="4">
        <f>'Key Variables'!$J$18/12</f>
        <v>6250</v>
      </c>
      <c r="AJ52" s="4">
        <f>'Key Variables'!$J$18/12</f>
        <v>6250</v>
      </c>
      <c r="AK52" s="4">
        <f>'Key Variables'!$J$18/12</f>
        <v>6250</v>
      </c>
      <c r="AL52" s="4">
        <f>'Key Variables'!$K$18/12</f>
        <v>6250</v>
      </c>
      <c r="AM52" s="4">
        <f>'Key Variables'!$K$18/12</f>
        <v>6250</v>
      </c>
      <c r="AN52" s="4">
        <f>'Key Variables'!$K$18/12</f>
        <v>6250</v>
      </c>
      <c r="AO52" s="4">
        <f>'Key Variables'!$K$18/12</f>
        <v>6250</v>
      </c>
      <c r="AP52" s="4">
        <f>'Key Variables'!$K$18/12</f>
        <v>6250</v>
      </c>
      <c r="AQ52" s="4">
        <f>'Key Variables'!$K$18/12</f>
        <v>6250</v>
      </c>
      <c r="AR52" s="4">
        <f>'Key Variables'!$K$18/12</f>
        <v>6250</v>
      </c>
      <c r="AS52" s="4">
        <f>'Key Variables'!$K$18/12</f>
        <v>6250</v>
      </c>
      <c r="AT52" s="4">
        <f>'Key Variables'!$K$18/12</f>
        <v>6250</v>
      </c>
      <c r="AU52" s="4">
        <f>'Key Variables'!$K$18/12</f>
        <v>6250</v>
      </c>
      <c r="AV52" s="4">
        <f>'Key Variables'!$K$18/12</f>
        <v>6250</v>
      </c>
      <c r="AW52" s="4">
        <f>'Key Variables'!$K$18/12</f>
        <v>6250</v>
      </c>
    </row>
    <row r="53" spans="1:49" hidden="1"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hidden="1"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idden="1" x14ac:dyDescent="0.25">
      <c r="A55" s="1" t="s">
        <v>49</v>
      </c>
      <c r="B55" s="4">
        <f>SUM(B26:B33)+SUM(B44:B44)-SUM(B45:B45)-SUM(B47:B52)-SUM(B35:B42)</f>
        <v>-20982.031249999971</v>
      </c>
      <c r="C55" s="4">
        <f t="shared" ref="C55:AW55" si="39">SUM(C26:C33)+SUM(C44:C44)-SUM(C45:C45)-SUM(C47:C52)-SUM(C35:C42)</f>
        <v>-19717.708333333343</v>
      </c>
      <c r="D55" s="4">
        <f t="shared" si="39"/>
        <v>-18453.385416666657</v>
      </c>
      <c r="E55" s="4">
        <f t="shared" si="39"/>
        <v>-17189.062499999971</v>
      </c>
      <c r="F55" s="4">
        <f t="shared" si="39"/>
        <v>-15924.739583333343</v>
      </c>
      <c r="G55" s="4">
        <f t="shared" si="39"/>
        <v>-14660.416666666657</v>
      </c>
      <c r="H55" s="4">
        <f t="shared" si="39"/>
        <v>-13304.947916666657</v>
      </c>
      <c r="I55" s="4">
        <f t="shared" si="39"/>
        <v>-11949.479166666657</v>
      </c>
      <c r="J55" s="4">
        <f t="shared" si="39"/>
        <v>-10594.010416666657</v>
      </c>
      <c r="K55" s="4">
        <f t="shared" si="39"/>
        <v>-9238.541666666657</v>
      </c>
      <c r="L55" s="4">
        <f t="shared" si="39"/>
        <v>-7883.072916666657</v>
      </c>
      <c r="M55" s="4">
        <f t="shared" si="39"/>
        <v>-6527.604166666657</v>
      </c>
      <c r="N55" s="4">
        <f t="shared" si="39"/>
        <v>-19467.708333333372</v>
      </c>
      <c r="O55" s="4">
        <f t="shared" si="39"/>
        <v>-17690.798611111124</v>
      </c>
      <c r="P55" s="4">
        <f t="shared" si="39"/>
        <v>-15913.888888888934</v>
      </c>
      <c r="Q55" s="4">
        <f t="shared" si="39"/>
        <v>-14136.979166666657</v>
      </c>
      <c r="R55" s="4">
        <f t="shared" si="39"/>
        <v>-12360.069444444525</v>
      </c>
      <c r="S55" s="4">
        <f t="shared" si="39"/>
        <v>-10583.159722222248</v>
      </c>
      <c r="T55" s="4">
        <f t="shared" si="39"/>
        <v>-8775.8680555555911</v>
      </c>
      <c r="U55" s="4">
        <f t="shared" si="39"/>
        <v>-6968.5763888889051</v>
      </c>
      <c r="V55" s="4">
        <f t="shared" si="39"/>
        <v>-5161.2847222223063</v>
      </c>
      <c r="W55" s="4">
        <f t="shared" si="39"/>
        <v>-3353.9930555556202</v>
      </c>
      <c r="X55" s="4">
        <f t="shared" si="39"/>
        <v>-1546.7013888889342</v>
      </c>
      <c r="Y55" s="4">
        <f t="shared" si="39"/>
        <v>260.59027777775191</v>
      </c>
      <c r="Z55" s="4">
        <f t="shared" si="39"/>
        <v>7411.935763888876</v>
      </c>
      <c r="AA55" s="4">
        <f t="shared" si="39"/>
        <v>9640.6684027778101</v>
      </c>
      <c r="AB55" s="4">
        <f t="shared" si="39"/>
        <v>11869.401041666686</v>
      </c>
      <c r="AC55" s="4">
        <f t="shared" si="39"/>
        <v>14098.13368055562</v>
      </c>
      <c r="AD55" s="4">
        <f t="shared" si="39"/>
        <v>16326.866319444496</v>
      </c>
      <c r="AE55" s="4">
        <f t="shared" si="39"/>
        <v>18555.59895833343</v>
      </c>
      <c r="AF55" s="4">
        <f t="shared" si="39"/>
        <v>20814.713541666686</v>
      </c>
      <c r="AG55" s="4">
        <f t="shared" si="39"/>
        <v>23073.828125000058</v>
      </c>
      <c r="AH55" s="4">
        <f t="shared" si="39"/>
        <v>25332.942708333314</v>
      </c>
      <c r="AI55" s="4">
        <f t="shared" si="39"/>
        <v>27592.057291666744</v>
      </c>
      <c r="AJ55" s="4">
        <f t="shared" si="39"/>
        <v>29851.171875</v>
      </c>
      <c r="AK55" s="4">
        <f t="shared" si="39"/>
        <v>32110.286458333372</v>
      </c>
      <c r="AL55" s="4">
        <f t="shared" si="39"/>
        <v>21130.94618055562</v>
      </c>
      <c r="AM55" s="4">
        <f t="shared" si="39"/>
        <v>23811.501736111066</v>
      </c>
      <c r="AN55" s="4">
        <f t="shared" si="39"/>
        <v>26492.057291666744</v>
      </c>
      <c r="AO55" s="4">
        <f t="shared" si="39"/>
        <v>29172.612847222365</v>
      </c>
      <c r="AP55" s="4">
        <f t="shared" si="39"/>
        <v>31853.16840277781</v>
      </c>
      <c r="AQ55" s="4">
        <f t="shared" si="39"/>
        <v>34533.72395833343</v>
      </c>
      <c r="AR55" s="4">
        <f t="shared" si="39"/>
        <v>37244.66145833343</v>
      </c>
      <c r="AS55" s="4">
        <f t="shared" si="39"/>
        <v>39955.59895833343</v>
      </c>
      <c r="AT55" s="4">
        <f t="shared" si="39"/>
        <v>42666.53645833343</v>
      </c>
      <c r="AU55" s="4">
        <f t="shared" si="39"/>
        <v>45377.473958333314</v>
      </c>
      <c r="AV55" s="4">
        <f t="shared" si="39"/>
        <v>48088.41145833343</v>
      </c>
      <c r="AW55" s="4">
        <f t="shared" si="39"/>
        <v>50799.34895833343</v>
      </c>
    </row>
    <row r="56" spans="1:49" hidden="1" x14ac:dyDescent="0.25">
      <c r="A56" s="1" t="s">
        <v>25</v>
      </c>
      <c r="B56" s="4">
        <f>B55</f>
        <v>-20982.031249999971</v>
      </c>
      <c r="C56" s="4">
        <f>C55+B56</f>
        <v>-40699.739583333314</v>
      </c>
      <c r="D56" s="4">
        <f>D55+C56</f>
        <v>-59153.124999999971</v>
      </c>
      <c r="E56" s="4">
        <f t="shared" ref="E56:AW56" si="40">E55+D56</f>
        <v>-76342.187499999942</v>
      </c>
      <c r="F56" s="4">
        <f t="shared" si="40"/>
        <v>-92266.927083333285</v>
      </c>
      <c r="G56" s="4">
        <f t="shared" si="40"/>
        <v>-106927.34374999994</v>
      </c>
      <c r="H56" s="4">
        <f t="shared" si="40"/>
        <v>-120232.2916666666</v>
      </c>
      <c r="I56" s="4">
        <f t="shared" si="40"/>
        <v>-132181.77083333326</v>
      </c>
      <c r="J56" s="4">
        <f t="shared" si="40"/>
        <v>-142775.78124999991</v>
      </c>
      <c r="K56" s="4">
        <f t="shared" si="40"/>
        <v>-152014.32291666657</v>
      </c>
      <c r="L56" s="4">
        <f t="shared" si="40"/>
        <v>-159897.39583333323</v>
      </c>
      <c r="M56" s="4">
        <f t="shared" si="40"/>
        <v>-166424.99999999988</v>
      </c>
      <c r="N56" s="4">
        <f t="shared" si="40"/>
        <v>-185892.70833333326</v>
      </c>
      <c r="O56" s="4">
        <f t="shared" si="40"/>
        <v>-203583.50694444438</v>
      </c>
      <c r="P56" s="4">
        <f t="shared" si="40"/>
        <v>-219497.39583333331</v>
      </c>
      <c r="Q56" s="4">
        <f t="shared" si="40"/>
        <v>-233634.37499999997</v>
      </c>
      <c r="R56" s="4">
        <f t="shared" si="40"/>
        <v>-245994.4444444445</v>
      </c>
      <c r="S56" s="4">
        <f t="shared" si="40"/>
        <v>-256577.60416666674</v>
      </c>
      <c r="T56" s="4">
        <f t="shared" si="40"/>
        <v>-265353.47222222236</v>
      </c>
      <c r="U56" s="4">
        <f t="shared" si="40"/>
        <v>-272322.04861111124</v>
      </c>
      <c r="V56" s="4">
        <f t="shared" si="40"/>
        <v>-277483.33333333355</v>
      </c>
      <c r="W56" s="4">
        <f t="shared" si="40"/>
        <v>-280837.32638888917</v>
      </c>
      <c r="X56" s="4">
        <f t="shared" si="40"/>
        <v>-282384.0277777781</v>
      </c>
      <c r="Y56" s="4">
        <f t="shared" si="40"/>
        <v>-282123.43750000035</v>
      </c>
      <c r="Z56" s="4">
        <f t="shared" si="40"/>
        <v>-274711.50173611147</v>
      </c>
      <c r="AA56" s="4">
        <f t="shared" si="40"/>
        <v>-265070.83333333366</v>
      </c>
      <c r="AB56" s="4">
        <f t="shared" si="40"/>
        <v>-253201.43229166698</v>
      </c>
      <c r="AC56" s="4">
        <f t="shared" si="40"/>
        <v>-239103.29861111136</v>
      </c>
      <c r="AD56" s="4">
        <f t="shared" si="40"/>
        <v>-222776.43229166686</v>
      </c>
      <c r="AE56" s="4">
        <f t="shared" si="40"/>
        <v>-204220.83333333343</v>
      </c>
      <c r="AF56" s="4">
        <f t="shared" si="40"/>
        <v>-183406.11979166674</v>
      </c>
      <c r="AG56" s="4">
        <f t="shared" si="40"/>
        <v>-160332.29166666669</v>
      </c>
      <c r="AH56" s="4">
        <f t="shared" si="40"/>
        <v>-134999.34895833337</v>
      </c>
      <c r="AI56" s="4">
        <f t="shared" si="40"/>
        <v>-107407.29166666663</v>
      </c>
      <c r="AJ56" s="4">
        <f t="shared" si="40"/>
        <v>-77556.119791666628</v>
      </c>
      <c r="AK56" s="4">
        <f>AK55+AJ56</f>
        <v>-45445.833333333256</v>
      </c>
      <c r="AL56" s="4">
        <f t="shared" si="40"/>
        <v>-24314.887152777635</v>
      </c>
      <c r="AM56" s="4">
        <f t="shared" si="40"/>
        <v>-503.38541666656965</v>
      </c>
      <c r="AN56" s="4">
        <f t="shared" si="40"/>
        <v>25988.671875000175</v>
      </c>
      <c r="AO56" s="4">
        <f t="shared" si="40"/>
        <v>55161.284722222539</v>
      </c>
      <c r="AP56" s="4">
        <f t="shared" si="40"/>
        <v>87014.453125000349</v>
      </c>
      <c r="AQ56" s="4">
        <f t="shared" si="40"/>
        <v>121548.17708333378</v>
      </c>
      <c r="AR56" s="4">
        <f t="shared" si="40"/>
        <v>158792.83854166721</v>
      </c>
      <c r="AS56" s="4">
        <f t="shared" si="40"/>
        <v>198748.43750000064</v>
      </c>
      <c r="AT56" s="4">
        <f t="shared" si="40"/>
        <v>241414.97395833407</v>
      </c>
      <c r="AU56" s="4">
        <f t="shared" si="40"/>
        <v>286792.44791666738</v>
      </c>
      <c r="AV56" s="4">
        <f t="shared" si="40"/>
        <v>334880.85937500081</v>
      </c>
      <c r="AW56" s="4">
        <f t="shared" si="40"/>
        <v>385680.20833333425</v>
      </c>
    </row>
    <row r="57" spans="1:49" hidden="1"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idden="1" x14ac:dyDescent="0.25">
      <c r="A58" s="7" t="s">
        <v>16</v>
      </c>
      <c r="B58" s="8">
        <v>1</v>
      </c>
      <c r="C58" s="8">
        <v>2</v>
      </c>
      <c r="D58" s="8">
        <v>3</v>
      </c>
      <c r="E58" s="8">
        <v>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hidden="1" x14ac:dyDescent="0.25">
      <c r="H59" s="4"/>
    </row>
    <row r="60" spans="1:49" hidden="1" x14ac:dyDescent="0.25">
      <c r="A60" s="1" t="s">
        <v>26</v>
      </c>
      <c r="B60" s="4">
        <f>SUM(B44:M44)</f>
        <v>30000</v>
      </c>
      <c r="C60" s="4">
        <f>SUM(N44:Y44)</f>
        <v>40000.000000000022</v>
      </c>
      <c r="D60" s="4">
        <f>SUM(Z44:AK44)</f>
        <v>49999.999999999993</v>
      </c>
      <c r="E60" s="4">
        <f>SUM(AL44:AW44)</f>
        <v>60000</v>
      </c>
      <c r="G60" s="53" t="s">
        <v>111</v>
      </c>
      <c r="H60" s="39">
        <f>IRR(B55:AW55)</f>
        <v>2.9750487899445011E-2</v>
      </c>
    </row>
    <row r="61" spans="1:49" hidden="1" x14ac:dyDescent="0.25">
      <c r="A61" s="9"/>
      <c r="B61" s="4"/>
      <c r="C61" s="4"/>
      <c r="D61" s="4"/>
      <c r="E61" s="4"/>
      <c r="G61" s="4"/>
      <c r="H61" s="4"/>
    </row>
    <row r="62" spans="1:49" hidden="1" x14ac:dyDescent="0.25">
      <c r="A62" s="10" t="s">
        <v>120</v>
      </c>
      <c r="B62" s="4">
        <f>SUM(B26:M26)</f>
        <v>300000</v>
      </c>
      <c r="C62" s="4">
        <f>SUM(N26:Y26)</f>
        <v>399999.99999999994</v>
      </c>
      <c r="D62" s="4">
        <f>SUM(Z26:AK26)</f>
        <v>500000.00000000017</v>
      </c>
      <c r="E62" s="4">
        <f>SUM(AL26:AW26)</f>
        <v>600000</v>
      </c>
      <c r="G62" s="4"/>
      <c r="H62" s="4"/>
    </row>
    <row r="63" spans="1:49" hidden="1" x14ac:dyDescent="0.25">
      <c r="A63" s="10" t="s">
        <v>121</v>
      </c>
      <c r="B63" s="4">
        <f>SUM(B27:M27)</f>
        <v>3656.25</v>
      </c>
      <c r="C63" s="4">
        <f>SUM(N27:Y27)</f>
        <v>11625.000000000002</v>
      </c>
      <c r="D63" s="4">
        <f>SUM(Z27:AK27)</f>
        <v>21843.750000000007</v>
      </c>
      <c r="E63" s="4">
        <f>SUM(AL27:AW27)</f>
        <v>34312.500000000015</v>
      </c>
      <c r="G63" s="4"/>
      <c r="H63" s="4"/>
    </row>
    <row r="64" spans="1:49" hidden="1" x14ac:dyDescent="0.25">
      <c r="A64" s="10" t="s">
        <v>127</v>
      </c>
      <c r="B64" s="4">
        <f>SUM(B28:M28)</f>
        <v>158437.5</v>
      </c>
      <c r="C64" s="4">
        <f>SUM(N28:Y28)</f>
        <v>503750.00000000017</v>
      </c>
      <c r="D64" s="4">
        <f>SUM(Z28:AK28)</f>
        <v>946562.50000000047</v>
      </c>
      <c r="E64" s="4">
        <f>SUM(AL28:AW28)</f>
        <v>1486875.0000000002</v>
      </c>
      <c r="G64" s="4"/>
      <c r="H64" s="4"/>
    </row>
    <row r="65" spans="1:8" hidden="1" x14ac:dyDescent="0.25">
      <c r="A65" s="10" t="s">
        <v>396</v>
      </c>
      <c r="B65" s="4">
        <f>SUM(B29:M29)</f>
        <v>1875000</v>
      </c>
      <c r="C65" s="4">
        <f>SUM(N29:Y29)</f>
        <v>2500000</v>
      </c>
      <c r="D65" s="4">
        <f>SUM(Z29:AK29)</f>
        <v>3125000</v>
      </c>
      <c r="E65" s="4">
        <f>SUM(AL29:AW29)</f>
        <v>3750000</v>
      </c>
      <c r="G65" s="4"/>
      <c r="H65" s="4"/>
    </row>
    <row r="66" spans="1:8" hidden="1" x14ac:dyDescent="0.25">
      <c r="A66" s="10" t="s">
        <v>128</v>
      </c>
      <c r="B66" s="4">
        <f>SUM(B30:M30)</f>
        <v>5468.75</v>
      </c>
      <c r="C66" s="4">
        <f>SUM(N30:Y30)</f>
        <v>40885.416666666672</v>
      </c>
      <c r="D66" s="4">
        <f>SUM(Z30:AK30)</f>
        <v>91406.250000000044</v>
      </c>
      <c r="E66" s="4">
        <f>SUM(AL30:AW30)</f>
        <v>154427.0833333334</v>
      </c>
      <c r="G66" s="4"/>
      <c r="H66" s="4"/>
    </row>
    <row r="67" spans="1:8" hidden="1" x14ac:dyDescent="0.25">
      <c r="A67" s="10" t="s">
        <v>244</v>
      </c>
      <c r="B67" s="4">
        <f>SUM(B31:M33)</f>
        <v>124718.75</v>
      </c>
      <c r="C67" s="4">
        <f>SUM(N31:Y33)</f>
        <v>396541.66666666674</v>
      </c>
      <c r="D67" s="4">
        <f>SUM(Z31:AK33)</f>
        <v>745114.5833333336</v>
      </c>
      <c r="E67" s="4">
        <f>SUM(AL31:AW33)</f>
        <v>1170437.5000000002</v>
      </c>
      <c r="G67" s="4"/>
      <c r="H67" s="4"/>
    </row>
    <row r="68" spans="1:8" hidden="1" x14ac:dyDescent="0.25">
      <c r="A68" s="21"/>
      <c r="B68" s="4"/>
      <c r="C68" s="4"/>
      <c r="D68" s="4"/>
      <c r="E68" s="4"/>
      <c r="G68" s="4"/>
      <c r="H68" s="4"/>
    </row>
    <row r="69" spans="1:8" hidden="1" x14ac:dyDescent="0.25">
      <c r="A69" s="10" t="s">
        <v>73</v>
      </c>
      <c r="B69" s="4">
        <f>SUM(B35:M35)</f>
        <v>195000</v>
      </c>
      <c r="C69" s="4">
        <f>SUM(N35:Y35)</f>
        <v>259999.99999999997</v>
      </c>
      <c r="D69" s="4">
        <f>SUM(Z35:AK35)</f>
        <v>325000</v>
      </c>
      <c r="E69" s="4">
        <f>SUM(AL35:AW35)</f>
        <v>390000</v>
      </c>
      <c r="G69" s="4"/>
      <c r="H69" s="4"/>
    </row>
    <row r="70" spans="1:8" hidden="1" x14ac:dyDescent="0.25">
      <c r="A70" s="10" t="s">
        <v>131</v>
      </c>
      <c r="B70" s="4">
        <f>SUM(B36:M36)</f>
        <v>1279.6875</v>
      </c>
      <c r="C70" s="4">
        <f>SUM(N36:Y36)</f>
        <v>4068.75</v>
      </c>
      <c r="D70" s="4">
        <f>SUM(Z36:AK36)</f>
        <v>7645.3125000000018</v>
      </c>
      <c r="E70" s="4">
        <f>SUM(AL36:AW36)</f>
        <v>12009.375000000002</v>
      </c>
      <c r="G70" s="4"/>
      <c r="H70" s="4"/>
    </row>
    <row r="71" spans="1:8" hidden="1" x14ac:dyDescent="0.25">
      <c r="A71" s="10" t="s">
        <v>132</v>
      </c>
      <c r="B71" s="4">
        <f>SUM(B37:M37)</f>
        <v>87140.625</v>
      </c>
      <c r="C71" s="4">
        <f>SUM(N37:Y37)</f>
        <v>277062.50000000012</v>
      </c>
      <c r="D71" s="4">
        <f>SUM(Z37:AK37)</f>
        <v>520609.37500000035</v>
      </c>
      <c r="E71" s="4">
        <f>SUM(AL37:AW37)</f>
        <v>817781.25000000012</v>
      </c>
      <c r="G71" s="4"/>
      <c r="H71" s="4"/>
    </row>
    <row r="72" spans="1:8" hidden="1" x14ac:dyDescent="0.25">
      <c r="A72" s="10" t="s">
        <v>397</v>
      </c>
      <c r="B72" s="4">
        <f>SUM(B38:M38)</f>
        <v>1687500</v>
      </c>
      <c r="C72" s="4">
        <f>SUM(N38:Y38)</f>
        <v>2250000</v>
      </c>
      <c r="D72" s="4">
        <f>SUM(Z38:AK38)</f>
        <v>2812500.0000000005</v>
      </c>
      <c r="E72" s="4">
        <f>SUM(AL38:AW38)</f>
        <v>3375000</v>
      </c>
      <c r="G72" s="4"/>
      <c r="H72" s="4"/>
    </row>
    <row r="73" spans="1:8" hidden="1" x14ac:dyDescent="0.25">
      <c r="A73" s="10" t="s">
        <v>133</v>
      </c>
      <c r="B73" s="4">
        <f>SUM(B39:M39)</f>
        <v>3554.6875</v>
      </c>
      <c r="C73" s="4">
        <f>SUM(N39:Y39)</f>
        <v>26575.520833333336</v>
      </c>
      <c r="D73" s="4">
        <f>SUM(Z39:AK39)</f>
        <v>59414.062500000029</v>
      </c>
      <c r="E73" s="4">
        <f>SUM(AL39:AW39)</f>
        <v>100377.60416666672</v>
      </c>
      <c r="G73" s="4"/>
      <c r="H73" s="4"/>
    </row>
    <row r="74" spans="1:8" hidden="1" x14ac:dyDescent="0.25">
      <c r="A74" s="10" t="s">
        <v>245</v>
      </c>
      <c r="B74" s="4">
        <f>SUM(B40:M42)</f>
        <v>99775</v>
      </c>
      <c r="C74" s="4">
        <f>SUM(N40:Y42)</f>
        <v>317233.33333333337</v>
      </c>
      <c r="D74" s="4">
        <f>SUM(Z40:AK42)</f>
        <v>596091.66666666686</v>
      </c>
      <c r="E74" s="4">
        <f>SUM(AL40:AW42)</f>
        <v>936350.00000000012</v>
      </c>
      <c r="G74" s="4"/>
      <c r="H74" s="4"/>
    </row>
    <row r="75" spans="1:8" hidden="1" x14ac:dyDescent="0.25">
      <c r="A75" s="10"/>
      <c r="B75" s="4"/>
      <c r="C75" s="4"/>
      <c r="D75" s="4"/>
      <c r="E75" s="4"/>
      <c r="G75" s="4"/>
      <c r="H75" s="4"/>
    </row>
    <row r="76" spans="1:8" hidden="1" x14ac:dyDescent="0.25">
      <c r="A76" s="1" t="s">
        <v>27</v>
      </c>
      <c r="B76" s="4">
        <f>SUM(B45:M45)</f>
        <v>15000</v>
      </c>
      <c r="C76" s="4">
        <f>SUM(N45:Y45)</f>
        <v>20000.000000000011</v>
      </c>
      <c r="D76" s="4">
        <f>SUM(Z45:AK45)</f>
        <v>24999.999999999996</v>
      </c>
      <c r="E76" s="4">
        <f>SUM(AL45:AW45)</f>
        <v>30000</v>
      </c>
      <c r="G76" s="4"/>
      <c r="H76" s="4"/>
    </row>
    <row r="77" spans="1:8" hidden="1" x14ac:dyDescent="0.25">
      <c r="H77" s="4"/>
    </row>
    <row r="78" spans="1:8" hidden="1" x14ac:dyDescent="0.25"/>
    <row r="79" spans="1:8" hidden="1" x14ac:dyDescent="0.25">
      <c r="B79" s="4">
        <f>SUM(B60:B67)-SUM(B69:B76)</f>
        <v>408031.25</v>
      </c>
      <c r="C79" s="4">
        <f t="shared" ref="C79:E79" si="41">SUM(C60:C67)-SUM(C69:C76)</f>
        <v>737861.97916666605</v>
      </c>
      <c r="D79" s="4">
        <f t="shared" si="41"/>
        <v>1133666.666666666</v>
      </c>
      <c r="E79" s="4">
        <f t="shared" si="41"/>
        <v>1594533.854166666</v>
      </c>
    </row>
    <row r="80" spans="1:8" hidden="1" x14ac:dyDescent="0.25"/>
    <row r="81" spans="2:49" hidden="1" x14ac:dyDescent="0.25"/>
    <row r="82" spans="2:49"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sheetData>
  <sheetProtection algorithmName="SHA-512" hashValue="Ek740UH1tEF9mSZc8iYs4Qe6CAl+/nZqeEIg78coT8d3pYoUV1nUF7PThsf4UvqVvIWg4b8inG8nmtwhQZioqw==" saltValue="kgCPgQ5V7BdbMsjMahUKKQ==" spinCount="100000" sheet="1" objects="1" scenarios="1"/>
  <mergeCells count="1">
    <mergeCell ref="B1:AW1"/>
  </mergeCells>
  <pageMargins left="0.70866141732283472" right="0.70866141732283472" top="0.74803149606299213" bottom="0.74803149606299213" header="0.31496062992125984" footer="0.31496062992125984"/>
  <pageSetup scale="50" orientation="landscape" r:id="rId1"/>
  <ignoredErrors>
    <ignoredError sqref="B21:AW2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A6460F8CA3D646A1BE767F90F283D2" ma:contentTypeVersion="2" ma:contentTypeDescription="Create a new document." ma:contentTypeScope="" ma:versionID="857a4a91ba839ae9ab014d1331b523e1">
  <xsd:schema xmlns:xsd="http://www.w3.org/2001/XMLSchema" xmlns:xs="http://www.w3.org/2001/XMLSchema" xmlns:p="http://schemas.microsoft.com/office/2006/metadata/properties" xmlns:ns2="ce7f45f4-ea17-414a-988a-8a25b6d77461" targetNamespace="http://schemas.microsoft.com/office/2006/metadata/properties" ma:root="true" ma:fieldsID="86ff228edc14a6e73740418b84145c0d" ns2:_="">
    <xsd:import namespace="ce7f45f4-ea17-414a-988a-8a25b6d7746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7f45f4-ea17-414a-988a-8a25b6d774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3A08C2-6404-4D43-9489-41AF43AE7276}"/>
</file>

<file path=customXml/itemProps2.xml><?xml version="1.0" encoding="utf-8"?>
<ds:datastoreItem xmlns:ds="http://schemas.openxmlformats.org/officeDocument/2006/customXml" ds:itemID="{DF32256F-905F-4B6E-B89C-3326D60AFB21}"/>
</file>

<file path=customXml/itemProps3.xml><?xml version="1.0" encoding="utf-8"?>
<ds:datastoreItem xmlns:ds="http://schemas.openxmlformats.org/officeDocument/2006/customXml" ds:itemID="{C5612728-18BF-4176-AFAE-173E900377E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Services Overview &amp; Costs</vt:lpstr>
      <vt:lpstr>Definitions</vt:lpstr>
      <vt:lpstr>Key Variables</vt:lpstr>
      <vt:lpstr>P&amp;L Detail</vt:lpstr>
      <vt:lpstr>Users</vt:lpstr>
      <vt:lpstr>Cash Flow</vt:lpstr>
      <vt:lpstr>Resourcing</vt:lpstr>
      <vt:lpstr>"Fine Tune" Variables</vt:lpstr>
      <vt:lpstr>Core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Willmer</dc:creator>
  <dc:description>© 1 ClickFactory 2014. All rights reserved.</dc:description>
  <cp:lastModifiedBy>I-Chin Maeda</cp:lastModifiedBy>
  <cp:lastPrinted>2011-05-31T20:13:44Z</cp:lastPrinted>
  <dcterms:created xsi:type="dcterms:W3CDTF">2010-11-09T18:01:08Z</dcterms:created>
  <dcterms:modified xsi:type="dcterms:W3CDTF">2016-09-21T18:07:12Z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0x010100BAA6460F8CA3D646A1BE767F90F283D2</vt:lpwstr>
  </property>
</Properties>
</file>