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.xml" ContentType="application/vnd.ms-office.chartcolorstyle+xml"/>
  <Override PartName="/xl/charts/style3.xml" ContentType="application/vnd.ms-office.chartstyle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/style1.xml" ContentType="application/vnd.ms-office.chartstyle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trlProps/ctrlProp2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\Dropbox\Work\Jeff Edwards\AX7\"/>
    </mc:Choice>
  </mc:AlternateContent>
  <bookViews>
    <workbookView xWindow="480" yWindow="3045" windowWidth="14880" windowHeight="5100" tabRatio="965" activeTab="1"/>
  </bookViews>
  <sheets>
    <sheet name="Valuation Stats" sheetId="55" r:id="rId1"/>
    <sheet name="Key Business Variables" sheetId="44" r:id="rId2"/>
    <sheet name="P&amp;L Detail" sheetId="30" r:id="rId3"/>
    <sheet name="Cash Flow" sheetId="39" r:id="rId4"/>
    <sheet name="Resourcing" sheetId="54" r:id="rId5"/>
    <sheet name="Subscribers" sheetId="52" r:id="rId6"/>
    <sheet name="Core Calculations" sheetId="31" state="hidden" r:id="rId7"/>
  </sheets>
  <definedNames>
    <definedName name="PaymentFrequency">'Key Business Variables'!#REF!</definedName>
    <definedName name="rationalize">#REF!</definedName>
  </definedNames>
  <calcPr calcId="152511"/>
</workbook>
</file>

<file path=xl/calcChain.xml><?xml version="1.0" encoding="utf-8"?>
<calcChain xmlns="http://schemas.openxmlformats.org/spreadsheetml/2006/main">
  <c r="C12" i="44" l="1"/>
  <c r="C13" i="44" s="1"/>
  <c r="F12" i="44" l="1"/>
  <c r="F13" i="44" s="1"/>
  <c r="D29" i="31" l="1"/>
  <c r="E29" i="31"/>
  <c r="F29" i="31"/>
  <c r="G29" i="31"/>
  <c r="H29" i="31"/>
  <c r="I29" i="31"/>
  <c r="J29" i="31"/>
  <c r="K29" i="31"/>
  <c r="L29" i="31"/>
  <c r="M29" i="31"/>
  <c r="N29" i="31"/>
  <c r="C29" i="31"/>
  <c r="B59" i="31"/>
  <c r="B57" i="31"/>
  <c r="B49" i="31"/>
  <c r="E41" i="30"/>
  <c r="E32" i="30"/>
  <c r="E22" i="30"/>
  <c r="E14" i="30"/>
  <c r="E6" i="30"/>
  <c r="E43" i="30" s="1"/>
  <c r="F14" i="30" s="1"/>
  <c r="C58" i="31" l="1"/>
  <c r="F25" i="30"/>
  <c r="F30" i="30"/>
  <c r="F21" i="30"/>
  <c r="F31" i="30"/>
  <c r="F16" i="30"/>
  <c r="F39" i="30"/>
  <c r="F6" i="30"/>
  <c r="F22" i="30"/>
  <c r="F34" i="30"/>
  <c r="F9" i="30"/>
  <c r="F41" i="30"/>
  <c r="F32" i="30"/>
  <c r="F4" i="30"/>
  <c r="F12" i="30"/>
  <c r="F20" i="30"/>
  <c r="F40" i="30"/>
  <c r="F29" i="30"/>
  <c r="F5" i="30"/>
  <c r="F13" i="30"/>
  <c r="E44" i="30"/>
  <c r="E46" i="30" s="1"/>
  <c r="E48" i="30" l="1"/>
  <c r="AN40" i="31" l="1"/>
  <c r="AO40" i="31"/>
  <c r="AP40" i="31"/>
  <c r="AQ40" i="31"/>
  <c r="AR40" i="31"/>
  <c r="AS40" i="31"/>
  <c r="AT40" i="31"/>
  <c r="AU40" i="31"/>
  <c r="AV40" i="31"/>
  <c r="AW40" i="31"/>
  <c r="AX40" i="31"/>
  <c r="AM40" i="31"/>
  <c r="AB40" i="31"/>
  <c r="AC40" i="31"/>
  <c r="AD40" i="31"/>
  <c r="AE40" i="31"/>
  <c r="AF40" i="31"/>
  <c r="AG40" i="31"/>
  <c r="AH40" i="31"/>
  <c r="AI40" i="31"/>
  <c r="AJ40" i="31"/>
  <c r="AK40" i="31"/>
  <c r="AL40" i="31"/>
  <c r="AA40" i="31"/>
  <c r="P40" i="31"/>
  <c r="Q40" i="31"/>
  <c r="R40" i="31"/>
  <c r="S40" i="31"/>
  <c r="T40" i="31"/>
  <c r="U40" i="31"/>
  <c r="V40" i="31"/>
  <c r="W40" i="31"/>
  <c r="X40" i="31"/>
  <c r="Y40" i="31"/>
  <c r="Z40" i="31"/>
  <c r="O40" i="31"/>
  <c r="D40" i="31"/>
  <c r="E40" i="31"/>
  <c r="F40" i="31"/>
  <c r="G40" i="31"/>
  <c r="H40" i="31"/>
  <c r="I40" i="31"/>
  <c r="J40" i="31"/>
  <c r="K40" i="31"/>
  <c r="L40" i="31"/>
  <c r="M40" i="31"/>
  <c r="N40" i="31"/>
  <c r="C40" i="31"/>
  <c r="C70" i="31" l="1"/>
  <c r="G40" i="30" s="1"/>
  <c r="D70" i="31"/>
  <c r="I40" i="30" s="1"/>
  <c r="E70" i="31"/>
  <c r="K40" i="30" s="1"/>
  <c r="F70" i="31"/>
  <c r="M40" i="30" s="1"/>
  <c r="C51" i="31"/>
  <c r="J23" i="44" l="1"/>
  <c r="I74" i="30" l="1"/>
  <c r="K74" i="30" l="1"/>
  <c r="M74" i="30"/>
  <c r="G74" i="30"/>
  <c r="M94" i="30" l="1"/>
  <c r="K97" i="30" s="1"/>
  <c r="M93" i="30"/>
  <c r="K96" i="30" s="1"/>
  <c r="L97" i="30" l="1"/>
  <c r="L96" i="30"/>
  <c r="AN4" i="31" l="1"/>
  <c r="AO4" i="31"/>
  <c r="AP4" i="31"/>
  <c r="AQ4" i="31"/>
  <c r="AR4" i="31"/>
  <c r="AS4" i="31"/>
  <c r="AT4" i="31"/>
  <c r="AU4" i="31"/>
  <c r="AV4" i="31"/>
  <c r="AW4" i="31"/>
  <c r="AX4" i="31"/>
  <c r="AM4" i="31"/>
  <c r="AN5" i="31" l="1"/>
  <c r="AO5" i="31"/>
  <c r="AP5" i="31"/>
  <c r="AQ5" i="31"/>
  <c r="AR5" i="31"/>
  <c r="AS5" i="31"/>
  <c r="AT5" i="31"/>
  <c r="AU5" i="31"/>
  <c r="AV5" i="31"/>
  <c r="AW5" i="31"/>
  <c r="AX5" i="31"/>
  <c r="AM5" i="31"/>
  <c r="AB5" i="31"/>
  <c r="AC5" i="31"/>
  <c r="AD5" i="31"/>
  <c r="AE5" i="31"/>
  <c r="AF5" i="31"/>
  <c r="AG5" i="31"/>
  <c r="AH5" i="31"/>
  <c r="AI5" i="31"/>
  <c r="AJ5" i="31"/>
  <c r="AK5" i="31"/>
  <c r="AL5" i="31"/>
  <c r="AA5" i="31"/>
  <c r="P5" i="31"/>
  <c r="Q5" i="31"/>
  <c r="R5" i="31"/>
  <c r="S5" i="31"/>
  <c r="T5" i="31"/>
  <c r="U5" i="31"/>
  <c r="V5" i="31"/>
  <c r="W5" i="31"/>
  <c r="X5" i="31"/>
  <c r="Y5" i="31"/>
  <c r="Z5" i="31"/>
  <c r="O5" i="31"/>
  <c r="AB4" i="31"/>
  <c r="AC4" i="31"/>
  <c r="AD4" i="31"/>
  <c r="AE4" i="31"/>
  <c r="AF4" i="31"/>
  <c r="AG4" i="31"/>
  <c r="AH4" i="31"/>
  <c r="AI4" i="31"/>
  <c r="AJ4" i="31"/>
  <c r="AK4" i="31"/>
  <c r="AL4" i="31"/>
  <c r="AA4" i="31"/>
  <c r="P4" i="31"/>
  <c r="Q4" i="31"/>
  <c r="R4" i="31"/>
  <c r="S4" i="31"/>
  <c r="T4" i="31"/>
  <c r="U4" i="31"/>
  <c r="V4" i="31"/>
  <c r="W4" i="31"/>
  <c r="X4" i="31"/>
  <c r="Y4" i="31"/>
  <c r="Z4" i="31"/>
  <c r="O4" i="31"/>
  <c r="C48" i="31" l="1"/>
  <c r="D4" i="31" l="1"/>
  <c r="D21" i="31" s="1"/>
  <c r="D31" i="31" s="1"/>
  <c r="E4" i="31"/>
  <c r="E21" i="31" s="1"/>
  <c r="E31" i="31" s="1"/>
  <c r="F4" i="31"/>
  <c r="F21" i="31" s="1"/>
  <c r="F31" i="31" s="1"/>
  <c r="G4" i="31"/>
  <c r="H4" i="31"/>
  <c r="H21" i="31" s="1"/>
  <c r="H31" i="31" s="1"/>
  <c r="I4" i="31"/>
  <c r="I21" i="31" s="1"/>
  <c r="I31" i="31" s="1"/>
  <c r="J4" i="31"/>
  <c r="J21" i="31" s="1"/>
  <c r="J31" i="31" s="1"/>
  <c r="K4" i="31"/>
  <c r="K21" i="31" s="1"/>
  <c r="K31" i="31" s="1"/>
  <c r="L4" i="31"/>
  <c r="L21" i="31" s="1"/>
  <c r="L31" i="31" s="1"/>
  <c r="M4" i="31"/>
  <c r="M21" i="31" s="1"/>
  <c r="M31" i="31" s="1"/>
  <c r="N4" i="31"/>
  <c r="N21" i="31" s="1"/>
  <c r="N31" i="31" s="1"/>
  <c r="O21" i="31"/>
  <c r="P21" i="31"/>
  <c r="Q21" i="31"/>
  <c r="R21" i="31"/>
  <c r="S21" i="31"/>
  <c r="T21" i="31"/>
  <c r="U21" i="31"/>
  <c r="V21" i="31"/>
  <c r="W21" i="31"/>
  <c r="X21" i="31"/>
  <c r="Y21" i="31"/>
  <c r="Z21" i="31"/>
  <c r="AA21" i="31"/>
  <c r="AB21" i="31"/>
  <c r="AC21" i="31"/>
  <c r="AD21" i="31"/>
  <c r="AE21" i="31"/>
  <c r="AF21" i="31"/>
  <c r="AG21" i="31"/>
  <c r="AH21" i="31"/>
  <c r="AI21" i="31"/>
  <c r="AJ21" i="31"/>
  <c r="AK21" i="31"/>
  <c r="AL21" i="31"/>
  <c r="AM21" i="31"/>
  <c r="AN21" i="31"/>
  <c r="AO21" i="31"/>
  <c r="AP21" i="31"/>
  <c r="AQ21" i="31"/>
  <c r="AS21" i="31"/>
  <c r="AT21" i="31"/>
  <c r="AU21" i="31"/>
  <c r="AW21" i="31"/>
  <c r="AX21" i="31"/>
  <c r="D5" i="31"/>
  <c r="D25" i="31" s="1"/>
  <c r="D34" i="31" s="1"/>
  <c r="E5" i="31"/>
  <c r="E25" i="31" s="1"/>
  <c r="E34" i="31" s="1"/>
  <c r="F5" i="31"/>
  <c r="F25" i="31" s="1"/>
  <c r="F34" i="31" s="1"/>
  <c r="G5" i="31"/>
  <c r="G25" i="31" s="1"/>
  <c r="G34" i="31" s="1"/>
  <c r="H5" i="31"/>
  <c r="H25" i="31" s="1"/>
  <c r="H34" i="31" s="1"/>
  <c r="I5" i="31"/>
  <c r="I25" i="31" s="1"/>
  <c r="I34" i="31" s="1"/>
  <c r="J5" i="31"/>
  <c r="J25" i="31" s="1"/>
  <c r="J34" i="31" s="1"/>
  <c r="K5" i="31"/>
  <c r="K25" i="31" s="1"/>
  <c r="K34" i="31" s="1"/>
  <c r="L5" i="31"/>
  <c r="L25" i="31" s="1"/>
  <c r="L34" i="31" s="1"/>
  <c r="M5" i="31"/>
  <c r="M25" i="31" s="1"/>
  <c r="M34" i="31" s="1"/>
  <c r="N5" i="31"/>
  <c r="N25" i="31" s="1"/>
  <c r="N34" i="31" s="1"/>
  <c r="C5" i="31"/>
  <c r="C4" i="31"/>
  <c r="C18" i="31" s="1"/>
  <c r="C28" i="31" s="1"/>
  <c r="E50" i="31" l="1"/>
  <c r="D50" i="31"/>
  <c r="C8" i="31"/>
  <c r="O25" i="31" s="1"/>
  <c r="O34" i="31" s="1"/>
  <c r="C21" i="31"/>
  <c r="C31" i="31" s="1"/>
  <c r="G21" i="31"/>
  <c r="G31" i="31" s="1"/>
  <c r="G18" i="31"/>
  <c r="G28" i="31" s="1"/>
  <c r="AV18" i="31"/>
  <c r="AV28" i="31" s="1"/>
  <c r="AV21" i="31"/>
  <c r="AR18" i="31"/>
  <c r="AR28" i="31" s="1"/>
  <c r="AR21" i="31"/>
  <c r="C25" i="31"/>
  <c r="C34" i="31" s="1"/>
  <c r="AF18" i="31"/>
  <c r="AF28" i="31" s="1"/>
  <c r="P18" i="31"/>
  <c r="P28" i="31" s="1"/>
  <c r="AW18" i="31"/>
  <c r="AW28" i="31" s="1"/>
  <c r="AO18" i="31"/>
  <c r="AO28" i="31" s="1"/>
  <c r="AB18" i="31"/>
  <c r="AB28" i="31" s="1"/>
  <c r="L18" i="31"/>
  <c r="L28" i="31" s="1"/>
  <c r="L20" i="31"/>
  <c r="L30" i="31" s="1"/>
  <c r="AN18" i="31"/>
  <c r="AN28" i="31" s="1"/>
  <c r="X18" i="31"/>
  <c r="X28" i="31" s="1"/>
  <c r="H18" i="31"/>
  <c r="H28" i="31" s="1"/>
  <c r="H20" i="31"/>
  <c r="H30" i="31" s="1"/>
  <c r="AS18" i="31"/>
  <c r="AS28" i="31" s="1"/>
  <c r="AJ18" i="31"/>
  <c r="AJ28" i="31" s="1"/>
  <c r="T18" i="31"/>
  <c r="T28" i="31" s="1"/>
  <c r="D18" i="31"/>
  <c r="D28" i="31" s="1"/>
  <c r="D20" i="31"/>
  <c r="D30" i="31" s="1"/>
  <c r="AU18" i="31"/>
  <c r="AU28" i="31" s="1"/>
  <c r="AQ18" i="31"/>
  <c r="AQ28" i="31" s="1"/>
  <c r="AM18" i="31"/>
  <c r="AM28" i="31" s="1"/>
  <c r="AI18" i="31"/>
  <c r="AI28" i="31" s="1"/>
  <c r="AE18" i="31"/>
  <c r="AE28" i="31" s="1"/>
  <c r="AA18" i="31"/>
  <c r="AA28" i="31" s="1"/>
  <c r="W18" i="31"/>
  <c r="W28" i="31" s="1"/>
  <c r="S18" i="31"/>
  <c r="S28" i="31" s="1"/>
  <c r="O18" i="31"/>
  <c r="O28" i="31" s="1"/>
  <c r="K18" i="31"/>
  <c r="K28" i="31" s="1"/>
  <c r="C20" i="31"/>
  <c r="C30" i="31" s="1"/>
  <c r="K20" i="31"/>
  <c r="K30" i="31" s="1"/>
  <c r="G20" i="31"/>
  <c r="G30" i="31" s="1"/>
  <c r="AX18" i="31"/>
  <c r="AX28" i="31" s="1"/>
  <c r="AT18" i="31"/>
  <c r="AT28" i="31" s="1"/>
  <c r="AP18" i="31"/>
  <c r="AP28" i="31" s="1"/>
  <c r="AL18" i="31"/>
  <c r="AL28" i="31" s="1"/>
  <c r="AH18" i="31"/>
  <c r="AH28" i="31" s="1"/>
  <c r="AD18" i="31"/>
  <c r="AD28" i="31" s="1"/>
  <c r="Z18" i="31"/>
  <c r="Z28" i="31" s="1"/>
  <c r="V18" i="31"/>
  <c r="V28" i="31" s="1"/>
  <c r="R18" i="31"/>
  <c r="R28" i="31" s="1"/>
  <c r="N18" i="31"/>
  <c r="N28" i="31" s="1"/>
  <c r="J18" i="31"/>
  <c r="J28" i="31" s="1"/>
  <c r="F18" i="31"/>
  <c r="F28" i="31" s="1"/>
  <c r="N20" i="31"/>
  <c r="N30" i="31" s="1"/>
  <c r="J20" i="31"/>
  <c r="J30" i="31" s="1"/>
  <c r="F20" i="31"/>
  <c r="F30" i="31" s="1"/>
  <c r="AK18" i="31"/>
  <c r="AK28" i="31" s="1"/>
  <c r="AG18" i="31"/>
  <c r="AG28" i="31" s="1"/>
  <c r="AC18" i="31"/>
  <c r="AC28" i="31" s="1"/>
  <c r="Y18" i="31"/>
  <c r="Y28" i="31" s="1"/>
  <c r="U18" i="31"/>
  <c r="U28" i="31" s="1"/>
  <c r="Q18" i="31"/>
  <c r="Q28" i="31" s="1"/>
  <c r="M18" i="31"/>
  <c r="M28" i="31" s="1"/>
  <c r="I18" i="31"/>
  <c r="I28" i="31" s="1"/>
  <c r="E18" i="31"/>
  <c r="E28" i="31" s="1"/>
  <c r="M20" i="31"/>
  <c r="M30" i="31" s="1"/>
  <c r="I20" i="31"/>
  <c r="I30" i="31" s="1"/>
  <c r="E20" i="31"/>
  <c r="E30" i="31" s="1"/>
  <c r="C60" i="31" l="1"/>
  <c r="C50" i="31"/>
  <c r="F50" i="31"/>
  <c r="C13" i="31"/>
  <c r="C26" i="31" s="1"/>
  <c r="C35" i="31" s="1"/>
  <c r="D8" i="31"/>
  <c r="P25" i="31" s="1"/>
  <c r="C10" i="31"/>
  <c r="C24" i="31" s="1"/>
  <c r="C49" i="31"/>
  <c r="C47" i="31"/>
  <c r="F47" i="31"/>
  <c r="C54" i="31"/>
  <c r="E47" i="31"/>
  <c r="D47" i="31"/>
  <c r="N61" i="44" l="1"/>
  <c r="N79" i="44" s="1"/>
  <c r="G47" i="31"/>
  <c r="G9" i="30"/>
  <c r="G16" i="30"/>
  <c r="G5" i="30"/>
  <c r="G50" i="31"/>
  <c r="G21" i="30"/>
  <c r="G4" i="30"/>
  <c r="P34" i="31"/>
  <c r="C16" i="31"/>
  <c r="D13" i="31"/>
  <c r="D26" i="31" s="1"/>
  <c r="D35" i="31" s="1"/>
  <c r="E8" i="31"/>
  <c r="C33" i="31"/>
  <c r="D10" i="31"/>
  <c r="D37" i="31" s="1"/>
  <c r="C37" i="31"/>
  <c r="C57" i="31"/>
  <c r="G20" i="30" l="1"/>
  <c r="E10" i="31"/>
  <c r="E37" i="31" s="1"/>
  <c r="Q25" i="31"/>
  <c r="D16" i="31"/>
  <c r="E13" i="31"/>
  <c r="E26" i="31" s="1"/>
  <c r="E35" i="31" s="1"/>
  <c r="F8" i="31"/>
  <c r="D24" i="31"/>
  <c r="D33" i="31"/>
  <c r="E24" i="31" l="1"/>
  <c r="E33" i="31"/>
  <c r="Q34" i="31"/>
  <c r="F10" i="31"/>
  <c r="F37" i="31" s="1"/>
  <c r="R25" i="31"/>
  <c r="R34" i="31" s="1"/>
  <c r="F13" i="31"/>
  <c r="G8" i="31"/>
  <c r="S25" i="31" s="1"/>
  <c r="S34" i="31" s="1"/>
  <c r="E16" i="31"/>
  <c r="F24" i="31" l="1"/>
  <c r="F33" i="31"/>
  <c r="F26" i="31"/>
  <c r="F35" i="31" s="1"/>
  <c r="G13" i="31"/>
  <c r="G26" i="31" s="1"/>
  <c r="G35" i="31" s="1"/>
  <c r="G10" i="31"/>
  <c r="G37" i="31" s="1"/>
  <c r="H8" i="31"/>
  <c r="T25" i="31" s="1"/>
  <c r="T34" i="31" s="1"/>
  <c r="F16" i="31"/>
  <c r="J19" i="44"/>
  <c r="I8" i="31" l="1"/>
  <c r="G24" i="31"/>
  <c r="H10" i="31"/>
  <c r="H37" i="31" s="1"/>
  <c r="H13" i="31"/>
  <c r="H26" i="31" s="1"/>
  <c r="H35" i="31" s="1"/>
  <c r="G33" i="31"/>
  <c r="G16" i="31"/>
  <c r="B52" i="39"/>
  <c r="I13" i="31" l="1"/>
  <c r="I26" i="31" s="1"/>
  <c r="I35" i="31" s="1"/>
  <c r="U25" i="31"/>
  <c r="I10" i="31"/>
  <c r="I37" i="31" s="1"/>
  <c r="J8" i="31"/>
  <c r="H24" i="31"/>
  <c r="H33" i="31"/>
  <c r="H16" i="31"/>
  <c r="I16" i="31" l="1"/>
  <c r="J13" i="31"/>
  <c r="J26" i="31" s="1"/>
  <c r="J35" i="31" s="1"/>
  <c r="V25" i="31"/>
  <c r="V34" i="31" s="1"/>
  <c r="U34" i="31"/>
  <c r="J10" i="31"/>
  <c r="J37" i="31" s="1"/>
  <c r="I24" i="31"/>
  <c r="I33" i="31"/>
  <c r="K8" i="31"/>
  <c r="J16" i="31" l="1"/>
  <c r="K10" i="31"/>
  <c r="K37" i="31" s="1"/>
  <c r="W25" i="31"/>
  <c r="W34" i="31" s="1"/>
  <c r="J24" i="31"/>
  <c r="J33" i="31"/>
  <c r="L8" i="31"/>
  <c r="K13" i="31"/>
  <c r="K26" i="31" s="1"/>
  <c r="K35" i="31" s="1"/>
  <c r="K33" i="31" l="1"/>
  <c r="K24" i="31"/>
  <c r="L10" i="31"/>
  <c r="L37" i="31" s="1"/>
  <c r="X25" i="31"/>
  <c r="X34" i="31" s="1"/>
  <c r="M8" i="31"/>
  <c r="L13" i="31"/>
  <c r="L26" i="31" s="1"/>
  <c r="L35" i="31" s="1"/>
  <c r="K16" i="31"/>
  <c r="L24" i="31" l="1"/>
  <c r="L33" i="31"/>
  <c r="N8" i="31"/>
  <c r="Z25" i="31" s="1"/>
  <c r="Y25" i="31"/>
  <c r="Y34" i="31" s="1"/>
  <c r="M10" i="31"/>
  <c r="M37" i="31" s="1"/>
  <c r="M13" i="31"/>
  <c r="M26" i="31" s="1"/>
  <c r="M35" i="31" s="1"/>
  <c r="L16" i="31"/>
  <c r="N10" i="31" l="1"/>
  <c r="N37" i="31" s="1"/>
  <c r="N13" i="31"/>
  <c r="N26" i="31" s="1"/>
  <c r="N35" i="31" s="1"/>
  <c r="C64" i="31" s="1"/>
  <c r="G31" i="30" s="1"/>
  <c r="O8" i="31"/>
  <c r="AA25" i="31" s="1"/>
  <c r="AA34" i="31" s="1"/>
  <c r="Z34" i="31"/>
  <c r="D54" i="31"/>
  <c r="M24" i="31"/>
  <c r="M33" i="31"/>
  <c r="M16" i="31"/>
  <c r="I16" i="30" l="1"/>
  <c r="C54" i="52"/>
  <c r="N24" i="31"/>
  <c r="C53" i="31" s="1"/>
  <c r="N33" i="31"/>
  <c r="N16" i="31"/>
  <c r="O10" i="31"/>
  <c r="O37" i="31" s="1"/>
  <c r="P8" i="31"/>
  <c r="AB25" i="31" s="1"/>
  <c r="AB34" i="31" s="1"/>
  <c r="O13" i="31"/>
  <c r="O16" i="31" s="1"/>
  <c r="G12" i="30" l="1"/>
  <c r="C62" i="31"/>
  <c r="G29" i="30" s="1"/>
  <c r="O24" i="31"/>
  <c r="O26" i="31"/>
  <c r="O35" i="31" s="1"/>
  <c r="O33" i="31"/>
  <c r="P10" i="31"/>
  <c r="P37" i="31" s="1"/>
  <c r="P13" i="31"/>
  <c r="P26" i="31" s="1"/>
  <c r="P35" i="31" s="1"/>
  <c r="Q8" i="31"/>
  <c r="AC25" i="31" s="1"/>
  <c r="AC34" i="31" s="1"/>
  <c r="C55" i="31"/>
  <c r="N60" i="44" s="1"/>
  <c r="N78" i="44" l="1"/>
  <c r="G13" i="30"/>
  <c r="P24" i="31"/>
  <c r="P16" i="31"/>
  <c r="P33" i="31"/>
  <c r="Q13" i="31"/>
  <c r="Q26" i="31" s="1"/>
  <c r="Q35" i="31" s="1"/>
  <c r="Q10" i="31"/>
  <c r="Q37" i="31" s="1"/>
  <c r="R8" i="31"/>
  <c r="AD25" i="31" s="1"/>
  <c r="AD34" i="31" s="1"/>
  <c r="N88" i="44" l="1"/>
  <c r="N70" i="44"/>
  <c r="S8" i="31"/>
  <c r="AE25" i="31" s="1"/>
  <c r="AE34" i="31" s="1"/>
  <c r="Q24" i="31"/>
  <c r="R10" i="31"/>
  <c r="R37" i="31" s="1"/>
  <c r="Q16" i="31"/>
  <c r="Q33" i="31"/>
  <c r="R13" i="31"/>
  <c r="R26" i="31" s="1"/>
  <c r="R35" i="31" s="1"/>
  <c r="C66" i="31"/>
  <c r="N62" i="44" s="1"/>
  <c r="N80" i="44" s="1"/>
  <c r="C55" i="52"/>
  <c r="C63" i="31"/>
  <c r="G34" i="30" s="1"/>
  <c r="G35" i="30" s="1"/>
  <c r="C37" i="54" s="1"/>
  <c r="C42" i="54" s="1"/>
  <c r="C59" i="31"/>
  <c r="D63" i="31"/>
  <c r="I34" i="30" s="1"/>
  <c r="I35" i="30" s="1"/>
  <c r="D37" i="54" s="1"/>
  <c r="D42" i="54" s="1"/>
  <c r="N92" i="44" l="1"/>
  <c r="N63" i="44"/>
  <c r="N81" i="44" s="1"/>
  <c r="N93" i="44" s="1"/>
  <c r="G30" i="30"/>
  <c r="N74" i="44"/>
  <c r="G25" i="30"/>
  <c r="G26" i="30" s="1"/>
  <c r="C36" i="54" s="1"/>
  <c r="C41" i="54" s="1"/>
  <c r="S10" i="31"/>
  <c r="S37" i="31" s="1"/>
  <c r="C72" i="31"/>
  <c r="S13" i="31"/>
  <c r="S26" i="31" s="1"/>
  <c r="S35" i="31" s="1"/>
  <c r="T8" i="31"/>
  <c r="AF25" i="31" s="1"/>
  <c r="AF34" i="31" s="1"/>
  <c r="R24" i="31"/>
  <c r="R33" i="31"/>
  <c r="R16" i="31"/>
  <c r="N84" i="44" l="1"/>
  <c r="N89" i="44"/>
  <c r="N75" i="44"/>
  <c r="N66" i="44"/>
  <c r="N71" i="44"/>
  <c r="U8" i="31"/>
  <c r="AG25" i="31" s="1"/>
  <c r="AG34" i="31" s="1"/>
  <c r="S33" i="31"/>
  <c r="S24" i="31"/>
  <c r="S16" i="31"/>
  <c r="T10" i="31"/>
  <c r="T37" i="31" s="1"/>
  <c r="T13" i="31"/>
  <c r="T26" i="31" s="1"/>
  <c r="T35" i="31" s="1"/>
  <c r="N67" i="44" l="1"/>
  <c r="N94" i="44"/>
  <c r="N85" i="44"/>
  <c r="U13" i="31"/>
  <c r="U26" i="31" s="1"/>
  <c r="U35" i="31" s="1"/>
  <c r="U10" i="31"/>
  <c r="U37" i="31" s="1"/>
  <c r="V8" i="31"/>
  <c r="AH25" i="31" s="1"/>
  <c r="AH34" i="31" s="1"/>
  <c r="T33" i="31"/>
  <c r="N76" i="44"/>
  <c r="T24" i="31"/>
  <c r="T16" i="31"/>
  <c r="U16" i="31" l="1"/>
  <c r="V10" i="31"/>
  <c r="V37" i="31" s="1"/>
  <c r="W8" i="31"/>
  <c r="AI25" i="31" s="1"/>
  <c r="AI34" i="31" s="1"/>
  <c r="U24" i="31"/>
  <c r="V13" i="31"/>
  <c r="V26" i="31" s="1"/>
  <c r="V35" i="31" s="1"/>
  <c r="U33" i="31"/>
  <c r="V24" i="31" l="1"/>
  <c r="V33" i="31"/>
  <c r="W13" i="31"/>
  <c r="W26" i="31" s="1"/>
  <c r="W35" i="31" s="1"/>
  <c r="W10" i="31"/>
  <c r="W37" i="31" s="1"/>
  <c r="X8" i="31"/>
  <c r="AJ25" i="31" s="1"/>
  <c r="AJ34" i="31" s="1"/>
  <c r="V16" i="31"/>
  <c r="W33" i="31" l="1"/>
  <c r="W16" i="31"/>
  <c r="W24" i="31"/>
  <c r="X13" i="31"/>
  <c r="X26" i="31" s="1"/>
  <c r="X35" i="31" s="1"/>
  <c r="X10" i="31"/>
  <c r="X37" i="31" s="1"/>
  <c r="Y8" i="31"/>
  <c r="AK25" i="31" s="1"/>
  <c r="AK34" i="31" s="1"/>
  <c r="X24" i="31" l="1"/>
  <c r="Y10" i="31"/>
  <c r="Y37" i="31" s="1"/>
  <c r="X33" i="31"/>
  <c r="Y13" i="31"/>
  <c r="Y26" i="31" s="1"/>
  <c r="Y35" i="31" s="1"/>
  <c r="X16" i="31"/>
  <c r="Z8" i="31"/>
  <c r="AL25" i="31" s="1"/>
  <c r="AL34" i="31" s="1"/>
  <c r="E63" i="31" s="1"/>
  <c r="K34" i="30" s="1"/>
  <c r="K35" i="30" s="1"/>
  <c r="E37" i="54" s="1"/>
  <c r="Y24" i="31" l="1"/>
  <c r="Z13" i="31"/>
  <c r="Z26" i="31" s="1"/>
  <c r="Z35" i="31" s="1"/>
  <c r="D64" i="31" s="1"/>
  <c r="I31" i="30" s="1"/>
  <c r="Y33" i="31"/>
  <c r="Z10" i="31"/>
  <c r="Z37" i="31" s="1"/>
  <c r="AA8" i="31"/>
  <c r="AM25" i="31" s="1"/>
  <c r="AM34" i="31" s="1"/>
  <c r="Y16" i="31"/>
  <c r="E54" i="31"/>
  <c r="K16" i="30" l="1"/>
  <c r="E42" i="54" s="1"/>
  <c r="AA13" i="31"/>
  <c r="AA26" i="31" s="1"/>
  <c r="AA35" i="31" s="1"/>
  <c r="AA10" i="31"/>
  <c r="AA37" i="31" s="1"/>
  <c r="Z16" i="31"/>
  <c r="Z24" i="31"/>
  <c r="D53" i="31" s="1"/>
  <c r="Z33" i="31"/>
  <c r="D62" i="31" s="1"/>
  <c r="I29" i="30" s="1"/>
  <c r="D54" i="52"/>
  <c r="AB8" i="31"/>
  <c r="AN25" i="31" s="1"/>
  <c r="AN34" i="31" s="1"/>
  <c r="I12" i="30" l="1"/>
  <c r="AA24" i="31"/>
  <c r="AA16" i="31"/>
  <c r="AA33" i="31"/>
  <c r="AC8" i="31"/>
  <c r="AO25" i="31" s="1"/>
  <c r="AO34" i="31" s="1"/>
  <c r="AB13" i="31"/>
  <c r="AB26" i="31" s="1"/>
  <c r="AB35" i="31" s="1"/>
  <c r="AB10" i="31"/>
  <c r="AB37" i="31" s="1"/>
  <c r="D55" i="52"/>
  <c r="D66" i="31"/>
  <c r="I30" i="30" s="1"/>
  <c r="D55" i="31"/>
  <c r="I13" i="30" l="1"/>
  <c r="AC13" i="31"/>
  <c r="AC26" i="31" s="1"/>
  <c r="AC35" i="31" s="1"/>
  <c r="AD8" i="31"/>
  <c r="AP25" i="31" s="1"/>
  <c r="AP34" i="31" s="1"/>
  <c r="AC10" i="31"/>
  <c r="AC37" i="31" s="1"/>
  <c r="AB33" i="31"/>
  <c r="AB16" i="31"/>
  <c r="AB24" i="31"/>
  <c r="C7" i="31"/>
  <c r="O20" i="31" s="1"/>
  <c r="AC16" i="31" l="1"/>
  <c r="AD13" i="31"/>
  <c r="AD26" i="31" s="1"/>
  <c r="AD35" i="31" s="1"/>
  <c r="AD10" i="31"/>
  <c r="AD37" i="31" s="1"/>
  <c r="AE8" i="31"/>
  <c r="AQ25" i="31" s="1"/>
  <c r="AQ34" i="31" s="1"/>
  <c r="AC24" i="31"/>
  <c r="AC33" i="31"/>
  <c r="O30" i="31"/>
  <c r="O19" i="31"/>
  <c r="O29" i="31" s="1"/>
  <c r="D7" i="31"/>
  <c r="P20" i="31" s="1"/>
  <c r="P30" i="31" s="1"/>
  <c r="C12" i="31"/>
  <c r="O22" i="31" s="1"/>
  <c r="O31" i="31" s="1"/>
  <c r="G22" i="30"/>
  <c r="G6" i="30"/>
  <c r="AD33" i="31" l="1"/>
  <c r="AF8" i="31"/>
  <c r="AR25" i="31" s="1"/>
  <c r="AR34" i="31" s="1"/>
  <c r="AD24" i="31"/>
  <c r="AD16" i="31"/>
  <c r="AE13" i="31"/>
  <c r="AE26" i="31" s="1"/>
  <c r="AE35" i="31" s="1"/>
  <c r="AE10" i="31"/>
  <c r="AE37" i="31" s="1"/>
  <c r="C15" i="31"/>
  <c r="D12" i="31"/>
  <c r="P22" i="31" s="1"/>
  <c r="P31" i="31" s="1"/>
  <c r="P19" i="31"/>
  <c r="P29" i="31" s="1"/>
  <c r="E7" i="31"/>
  <c r="Q20" i="31" s="1"/>
  <c r="Q30" i="31" s="1"/>
  <c r="AE16" i="31" l="1"/>
  <c r="AF13" i="31"/>
  <c r="AF26" i="31" s="1"/>
  <c r="AF35" i="31" s="1"/>
  <c r="AG8" i="31"/>
  <c r="AS25" i="31" s="1"/>
  <c r="AS34" i="31" s="1"/>
  <c r="AF10" i="31"/>
  <c r="AF37" i="31" s="1"/>
  <c r="AE33" i="31"/>
  <c r="AE24" i="31"/>
  <c r="D15" i="31"/>
  <c r="F7" i="31"/>
  <c r="R20" i="31" s="1"/>
  <c r="R30" i="31" s="1"/>
  <c r="Q19" i="31"/>
  <c r="Q29" i="31" s="1"/>
  <c r="E12" i="31"/>
  <c r="Q22" i="31" s="1"/>
  <c r="Q31" i="31" s="1"/>
  <c r="AF33" i="31" l="1"/>
  <c r="AF16" i="31"/>
  <c r="AG10" i="31"/>
  <c r="AG37" i="31" s="1"/>
  <c r="AH8" i="31"/>
  <c r="AT25" i="31" s="1"/>
  <c r="AT34" i="31" s="1"/>
  <c r="AG13" i="31"/>
  <c r="AG26" i="31" s="1"/>
  <c r="AG35" i="31" s="1"/>
  <c r="AF24" i="31"/>
  <c r="R19" i="31"/>
  <c r="R29" i="31" s="1"/>
  <c r="E15" i="31"/>
  <c r="G7" i="31"/>
  <c r="S20" i="31" s="1"/>
  <c r="S30" i="31" s="1"/>
  <c r="F12" i="31"/>
  <c r="R22" i="31" s="1"/>
  <c r="R31" i="31" s="1"/>
  <c r="AG33" i="31" l="1"/>
  <c r="AH10" i="31"/>
  <c r="AH37" i="31" s="1"/>
  <c r="AG24" i="31"/>
  <c r="AG16" i="31"/>
  <c r="AI8" i="31"/>
  <c r="AU25" i="31" s="1"/>
  <c r="AU34" i="31" s="1"/>
  <c r="AH13" i="31"/>
  <c r="AH26" i="31" s="1"/>
  <c r="AH35" i="31" s="1"/>
  <c r="S19" i="31"/>
  <c r="S29" i="31" s="1"/>
  <c r="F15" i="31"/>
  <c r="G12" i="31"/>
  <c r="S22" i="31" s="1"/>
  <c r="S31" i="31" s="1"/>
  <c r="H7" i="31"/>
  <c r="T20" i="31" s="1"/>
  <c r="T30" i="31" s="1"/>
  <c r="AH24" i="31" l="1"/>
  <c r="AH33" i="31"/>
  <c r="AH16" i="31"/>
  <c r="AI13" i="31"/>
  <c r="AI26" i="31" s="1"/>
  <c r="AI35" i="31" s="1"/>
  <c r="AI10" i="31"/>
  <c r="AI37" i="31" s="1"/>
  <c r="AJ8" i="31"/>
  <c r="AV25" i="31" s="1"/>
  <c r="AV34" i="31" s="1"/>
  <c r="G15" i="31"/>
  <c r="T19" i="31"/>
  <c r="T29" i="31" s="1"/>
  <c r="I7" i="31"/>
  <c r="U20" i="31" s="1"/>
  <c r="U30" i="31" s="1"/>
  <c r="H12" i="31"/>
  <c r="T22" i="31" s="1"/>
  <c r="T31" i="31" s="1"/>
  <c r="AI33" i="31" l="1"/>
  <c r="AI24" i="31"/>
  <c r="AI16" i="31"/>
  <c r="AJ13" i="31"/>
  <c r="AJ26" i="31" s="1"/>
  <c r="AJ35" i="31" s="1"/>
  <c r="AJ10" i="31"/>
  <c r="AJ37" i="31" s="1"/>
  <c r="AK8" i="31"/>
  <c r="AW25" i="31" s="1"/>
  <c r="AW34" i="31" s="1"/>
  <c r="H15" i="31"/>
  <c r="U19" i="31"/>
  <c r="U29" i="31" s="1"/>
  <c r="I12" i="31"/>
  <c r="U22" i="31" s="1"/>
  <c r="U31" i="31" s="1"/>
  <c r="J7" i="31"/>
  <c r="V20" i="31" s="1"/>
  <c r="V30" i="31" s="1"/>
  <c r="AK13" i="31" l="1"/>
  <c r="AK26" i="31" s="1"/>
  <c r="AK35" i="31" s="1"/>
  <c r="AK10" i="31"/>
  <c r="AK37" i="31" s="1"/>
  <c r="AJ33" i="31"/>
  <c r="AL8" i="31"/>
  <c r="AX25" i="31" s="1"/>
  <c r="F54" i="31" s="1"/>
  <c r="AJ24" i="31"/>
  <c r="AJ16" i="31"/>
  <c r="V19" i="31"/>
  <c r="V29" i="31" s="1"/>
  <c r="I15" i="31"/>
  <c r="K7" i="31"/>
  <c r="W20" i="31" s="1"/>
  <c r="W30" i="31" s="1"/>
  <c r="J12" i="31"/>
  <c r="V22" i="31" s="1"/>
  <c r="V31" i="31" s="1"/>
  <c r="M16" i="30" l="1"/>
  <c r="G54" i="31"/>
  <c r="AK33" i="31"/>
  <c r="AK24" i="31"/>
  <c r="AK16" i="31"/>
  <c r="AM8" i="31"/>
  <c r="AM13" i="31" s="1"/>
  <c r="AM26" i="31" s="1"/>
  <c r="AM35" i="31" s="1"/>
  <c r="AX34" i="31"/>
  <c r="F63" i="31" s="1"/>
  <c r="M34" i="30" s="1"/>
  <c r="M35" i="30" s="1"/>
  <c r="F37" i="54" s="1"/>
  <c r="AL13" i="31"/>
  <c r="AL26" i="31" s="1"/>
  <c r="AL35" i="31" s="1"/>
  <c r="E64" i="31" s="1"/>
  <c r="K31" i="30" s="1"/>
  <c r="AL10" i="31"/>
  <c r="AL37" i="31" s="1"/>
  <c r="J15" i="31"/>
  <c r="W19" i="31"/>
  <c r="W29" i="31" s="1"/>
  <c r="K12" i="31"/>
  <c r="W22" i="31" s="1"/>
  <c r="W31" i="31" s="1"/>
  <c r="L7" i="31"/>
  <c r="X20" i="31" s="1"/>
  <c r="X30" i="31" s="1"/>
  <c r="F42" i="54" l="1"/>
  <c r="AM10" i="31"/>
  <c r="AM37" i="31" s="1"/>
  <c r="AN8" i="31"/>
  <c r="AN10" i="31" s="1"/>
  <c r="AN37" i="31" s="1"/>
  <c r="AL24" i="31"/>
  <c r="E53" i="31" s="1"/>
  <c r="AL33" i="31"/>
  <c r="E62" i="31" s="1"/>
  <c r="K29" i="30" s="1"/>
  <c r="E54" i="52"/>
  <c r="AL16" i="31"/>
  <c r="K15" i="31"/>
  <c r="X19" i="31"/>
  <c r="X29" i="31" s="1"/>
  <c r="AM16" i="31"/>
  <c r="L12" i="31"/>
  <c r="X22" i="31" s="1"/>
  <c r="X31" i="31" s="1"/>
  <c r="M7" i="31"/>
  <c r="Y20" i="31" s="1"/>
  <c r="Y30" i="31" s="1"/>
  <c r="K12" i="30" l="1"/>
  <c r="AO8" i="31"/>
  <c r="AO10" i="31" s="1"/>
  <c r="AO37" i="31" s="1"/>
  <c r="AN13" i="31"/>
  <c r="AN26" i="31" s="1"/>
  <c r="AN35" i="31" s="1"/>
  <c r="AM24" i="31"/>
  <c r="AM33" i="31"/>
  <c r="Y19" i="31"/>
  <c r="Y29" i="31" s="1"/>
  <c r="L15" i="31"/>
  <c r="E66" i="31"/>
  <c r="K30" i="30" s="1"/>
  <c r="E55" i="31"/>
  <c r="M12" i="31"/>
  <c r="Y22" i="31" s="1"/>
  <c r="Y31" i="31" s="1"/>
  <c r="N7" i="31"/>
  <c r="Z20" i="31" s="1"/>
  <c r="E55" i="52"/>
  <c r="AN33" i="31"/>
  <c r="AN24" i="31"/>
  <c r="K13" i="30" l="1"/>
  <c r="AP8" i="31"/>
  <c r="AP13" i="31" s="1"/>
  <c r="AP26" i="31" s="1"/>
  <c r="AP35" i="31" s="1"/>
  <c r="AO13" i="31"/>
  <c r="AO26" i="31" s="1"/>
  <c r="AO35" i="31" s="1"/>
  <c r="AN16" i="31"/>
  <c r="Z30" i="31"/>
  <c r="D59" i="31" s="1"/>
  <c r="D49" i="31"/>
  <c r="Z19" i="31"/>
  <c r="Z29" i="31" s="1"/>
  <c r="D58" i="31" s="1"/>
  <c r="M15" i="31"/>
  <c r="N12" i="31"/>
  <c r="Z22" i="31" s="1"/>
  <c r="Z31" i="31" s="1"/>
  <c r="D60" i="31" s="1"/>
  <c r="O7" i="31"/>
  <c r="AA20" i="31" s="1"/>
  <c r="AO33" i="31"/>
  <c r="AO24" i="31"/>
  <c r="I25" i="30" l="1"/>
  <c r="I26" i="30" s="1"/>
  <c r="D36" i="54" s="1"/>
  <c r="O61" i="44"/>
  <c r="O79" i="44" s="1"/>
  <c r="I21" i="30"/>
  <c r="I9" i="30"/>
  <c r="AQ8" i="31"/>
  <c r="AR8" i="31" s="1"/>
  <c r="AP10" i="31"/>
  <c r="AP37" i="31" s="1"/>
  <c r="AO16" i="31"/>
  <c r="AA30" i="31"/>
  <c r="D48" i="31"/>
  <c r="D57" i="31"/>
  <c r="D51" i="31"/>
  <c r="AA19" i="31"/>
  <c r="AA29" i="31" s="1"/>
  <c r="AP16" i="31"/>
  <c r="N15" i="31"/>
  <c r="O12" i="31"/>
  <c r="AA22" i="31" s="1"/>
  <c r="AA31" i="31" s="1"/>
  <c r="P7" i="31"/>
  <c r="AB20" i="31" s="1"/>
  <c r="AB30" i="31" s="1"/>
  <c r="D41" i="54" l="1"/>
  <c r="I5" i="30"/>
  <c r="I20" i="30"/>
  <c r="I22" i="30" s="1"/>
  <c r="O60" i="44"/>
  <c r="O63" i="44"/>
  <c r="O81" i="44" s="1"/>
  <c r="O93" i="44" s="1"/>
  <c r="I4" i="30"/>
  <c r="AQ13" i="31"/>
  <c r="AQ26" i="31" s="1"/>
  <c r="AQ35" i="31" s="1"/>
  <c r="AQ10" i="31"/>
  <c r="AQ37" i="31" s="1"/>
  <c r="AP33" i="31"/>
  <c r="AP24" i="31"/>
  <c r="AB19" i="31"/>
  <c r="AB29" i="31" s="1"/>
  <c r="O15" i="31"/>
  <c r="P12" i="31"/>
  <c r="AB22" i="31" s="1"/>
  <c r="AB31" i="31" s="1"/>
  <c r="Q7" i="31"/>
  <c r="AC20" i="31" s="1"/>
  <c r="AC30" i="31" s="1"/>
  <c r="AS8" i="31"/>
  <c r="AR10" i="31"/>
  <c r="AR37" i="31" s="1"/>
  <c r="AR13" i="31"/>
  <c r="AR26" i="31" s="1"/>
  <c r="AR35" i="31" s="1"/>
  <c r="O62" i="44" l="1"/>
  <c r="O78" i="44"/>
  <c r="O75" i="44"/>
  <c r="AQ16" i="31"/>
  <c r="AQ24" i="31"/>
  <c r="AQ33" i="31"/>
  <c r="O70" i="44"/>
  <c r="I6" i="30"/>
  <c r="AC19" i="31"/>
  <c r="AC29" i="31" s="1"/>
  <c r="P15" i="31"/>
  <c r="AR16" i="31"/>
  <c r="R7" i="31"/>
  <c r="AD20" i="31" s="1"/>
  <c r="AD30" i="31" s="1"/>
  <c r="Q12" i="31"/>
  <c r="AC22" i="31" s="1"/>
  <c r="AC31" i="31" s="1"/>
  <c r="AR33" i="31"/>
  <c r="AR24" i="31"/>
  <c r="AT8" i="31"/>
  <c r="AS10" i="31"/>
  <c r="AS37" i="31" s="1"/>
  <c r="AS13" i="31"/>
  <c r="AS26" i="31" s="1"/>
  <c r="AS35" i="31" s="1"/>
  <c r="O88" i="44" l="1"/>
  <c r="O80" i="44"/>
  <c r="O84" i="44" s="1"/>
  <c r="O74" i="44"/>
  <c r="O66" i="44"/>
  <c r="O71" i="44"/>
  <c r="Q15" i="31"/>
  <c r="AD19" i="31"/>
  <c r="AD29" i="31" s="1"/>
  <c r="AS16" i="31"/>
  <c r="R12" i="31"/>
  <c r="AD22" i="31" s="1"/>
  <c r="AD31" i="31" s="1"/>
  <c r="S7" i="31"/>
  <c r="AE20" i="31" s="1"/>
  <c r="AE30" i="31" s="1"/>
  <c r="AS33" i="31"/>
  <c r="AS24" i="31"/>
  <c r="AU8" i="31"/>
  <c r="AT10" i="31"/>
  <c r="AT37" i="31" s="1"/>
  <c r="AT13" i="31"/>
  <c r="AT26" i="31" s="1"/>
  <c r="AT35" i="31" s="1"/>
  <c r="O67" i="44" l="1"/>
  <c r="O92" i="44"/>
  <c r="O89" i="44"/>
  <c r="O94" i="44" s="1"/>
  <c r="O85" i="44"/>
  <c r="O76" i="44"/>
  <c r="AE19" i="31"/>
  <c r="AE29" i="31" s="1"/>
  <c r="AT16" i="31"/>
  <c r="R15" i="31"/>
  <c r="S12" i="31"/>
  <c r="AE22" i="31" s="1"/>
  <c r="AE31" i="31" s="1"/>
  <c r="T7" i="31"/>
  <c r="AF20" i="31" s="1"/>
  <c r="AF30" i="31" s="1"/>
  <c r="AT33" i="31"/>
  <c r="AT24" i="31"/>
  <c r="AV8" i="31"/>
  <c r="AU10" i="31"/>
  <c r="AU37" i="31" s="1"/>
  <c r="AU13" i="31"/>
  <c r="AU26" i="31" s="1"/>
  <c r="AU35" i="31" s="1"/>
  <c r="S15" i="31" l="1"/>
  <c r="AF19" i="31"/>
  <c r="AF29" i="31" s="1"/>
  <c r="AU16" i="31"/>
  <c r="U7" i="31"/>
  <c r="AG20" i="31" s="1"/>
  <c r="AG30" i="31" s="1"/>
  <c r="T12" i="31"/>
  <c r="AF22" i="31" s="1"/>
  <c r="AF31" i="31" s="1"/>
  <c r="AU33" i="31"/>
  <c r="AU24" i="31"/>
  <c r="AW8" i="31"/>
  <c r="AV10" i="31"/>
  <c r="AV37" i="31" s="1"/>
  <c r="AV13" i="31"/>
  <c r="AV26" i="31" s="1"/>
  <c r="AV35" i="31" s="1"/>
  <c r="T15" i="31" l="1"/>
  <c r="AG19" i="31"/>
  <c r="AG29" i="31" s="1"/>
  <c r="AV16" i="31"/>
  <c r="U12" i="31"/>
  <c r="AG22" i="31" s="1"/>
  <c r="AG31" i="31" s="1"/>
  <c r="V7" i="31"/>
  <c r="AH20" i="31" s="1"/>
  <c r="AH30" i="31" s="1"/>
  <c r="AV33" i="31"/>
  <c r="AV24" i="31"/>
  <c r="AX8" i="31"/>
  <c r="AW10" i="31"/>
  <c r="AW37" i="31" s="1"/>
  <c r="AW13" i="31"/>
  <c r="AW26" i="31" s="1"/>
  <c r="AW35" i="31" s="1"/>
  <c r="AH19" i="31" l="1"/>
  <c r="AH29" i="31" s="1"/>
  <c r="G76" i="30"/>
  <c r="AX10" i="31"/>
  <c r="AX37" i="31" s="1"/>
  <c r="AW16" i="31"/>
  <c r="U15" i="31"/>
  <c r="V12" i="31"/>
  <c r="AH22" i="31" s="1"/>
  <c r="AH31" i="31" s="1"/>
  <c r="W7" i="31"/>
  <c r="AI20" i="31" s="1"/>
  <c r="AI30" i="31" s="1"/>
  <c r="AW33" i="31"/>
  <c r="AX13" i="31"/>
  <c r="AX26" i="31" s="1"/>
  <c r="AX35" i="31" s="1"/>
  <c r="F64" i="31" s="1"/>
  <c r="M31" i="30" s="1"/>
  <c r="AW24" i="31"/>
  <c r="G14" i="30"/>
  <c r="G43" i="30" s="1"/>
  <c r="G32" i="30"/>
  <c r="AI19" i="31" l="1"/>
  <c r="AI29" i="31" s="1"/>
  <c r="G77" i="30"/>
  <c r="F54" i="52"/>
  <c r="AX24" i="31"/>
  <c r="F53" i="31" s="1"/>
  <c r="AX33" i="31"/>
  <c r="F62" i="31" s="1"/>
  <c r="M29" i="30" s="1"/>
  <c r="AX16" i="31"/>
  <c r="V15" i="31"/>
  <c r="X7" i="31"/>
  <c r="AJ20" i="31" s="1"/>
  <c r="AJ30" i="31" s="1"/>
  <c r="W12" i="31"/>
  <c r="AI22" i="31" s="1"/>
  <c r="AI31" i="31" s="1"/>
  <c r="H14" i="30"/>
  <c r="G55" i="30"/>
  <c r="M12" i="30" l="1"/>
  <c r="G53" i="31"/>
  <c r="W15" i="31"/>
  <c r="AJ19" i="31"/>
  <c r="AJ29" i="31" s="1"/>
  <c r="H32" i="30"/>
  <c r="H40" i="30"/>
  <c r="H4" i="30"/>
  <c r="H20" i="30"/>
  <c r="H9" i="30"/>
  <c r="H16" i="30"/>
  <c r="H12" i="30"/>
  <c r="H29" i="30"/>
  <c r="H30" i="30"/>
  <c r="H5" i="30"/>
  <c r="H34" i="30"/>
  <c r="H21" i="30"/>
  <c r="H6" i="30"/>
  <c r="H22" i="30"/>
  <c r="H13" i="30"/>
  <c r="H31" i="30"/>
  <c r="H25" i="30"/>
  <c r="G79" i="30"/>
  <c r="K90" i="30"/>
  <c r="L90" i="30"/>
  <c r="X12" i="31"/>
  <c r="AJ22" i="31" s="1"/>
  <c r="AJ31" i="31" s="1"/>
  <c r="Y7" i="31"/>
  <c r="AK20" i="31" s="1"/>
  <c r="AK30" i="31" s="1"/>
  <c r="X15" i="31" l="1"/>
  <c r="AK19" i="31"/>
  <c r="AK29" i="31" s="1"/>
  <c r="F55" i="52"/>
  <c r="F66" i="31"/>
  <c r="M30" i="30" s="1"/>
  <c r="Y12" i="31"/>
  <c r="AK22" i="31" s="1"/>
  <c r="AK31" i="31" s="1"/>
  <c r="Z7" i="31"/>
  <c r="AL20" i="31" s="1"/>
  <c r="F55" i="31"/>
  <c r="N28" i="44"/>
  <c r="F5" i="44" s="1"/>
  <c r="M13" i="30" l="1"/>
  <c r="G55" i="31"/>
  <c r="D39" i="31"/>
  <c r="D42" i="31" s="1"/>
  <c r="H39" i="31"/>
  <c r="H42" i="31" s="1"/>
  <c r="L39" i="31"/>
  <c r="L42" i="31" s="1"/>
  <c r="F39" i="31"/>
  <c r="F42" i="31" s="1"/>
  <c r="J39" i="31"/>
  <c r="J42" i="31" s="1"/>
  <c r="G39" i="31"/>
  <c r="G42" i="31" s="1"/>
  <c r="C39" i="31"/>
  <c r="E39" i="31"/>
  <c r="E42" i="31" s="1"/>
  <c r="I39" i="31"/>
  <c r="I42" i="31" s="1"/>
  <c r="M39" i="31"/>
  <c r="M42" i="31" s="1"/>
  <c r="N39" i="31"/>
  <c r="N42" i="31" s="1"/>
  <c r="K39" i="31"/>
  <c r="K42" i="31" s="1"/>
  <c r="AL30" i="31"/>
  <c r="E59" i="31" s="1"/>
  <c r="E49" i="31"/>
  <c r="Y15" i="31"/>
  <c r="AL19" i="31"/>
  <c r="AL29" i="31" s="1"/>
  <c r="E58" i="31" s="1"/>
  <c r="G80" i="30"/>
  <c r="G83" i="30" s="1"/>
  <c r="AA7" i="31"/>
  <c r="AM20" i="31" s="1"/>
  <c r="Z12" i="31"/>
  <c r="AL22" i="31" s="1"/>
  <c r="AL31" i="31" s="1"/>
  <c r="E60" i="31" s="1"/>
  <c r="G56" i="30"/>
  <c r="P61" i="44" l="1"/>
  <c r="P79" i="44" s="1"/>
  <c r="K25" i="30"/>
  <c r="K26" i="30" s="1"/>
  <c r="E36" i="54" s="1"/>
  <c r="K21" i="30"/>
  <c r="K9" i="30"/>
  <c r="C69" i="31"/>
  <c r="G39" i="30" s="1"/>
  <c r="C42" i="31"/>
  <c r="C43" i="31" s="1"/>
  <c r="E48" i="31"/>
  <c r="E57" i="31"/>
  <c r="AM30" i="31"/>
  <c r="Z15" i="31"/>
  <c r="E51" i="31"/>
  <c r="AM19" i="31"/>
  <c r="AM29" i="31" s="1"/>
  <c r="AB7" i="31"/>
  <c r="AN20" i="31" s="1"/>
  <c r="AN30" i="31" s="1"/>
  <c r="AA12" i="31"/>
  <c r="AM22" i="31" s="1"/>
  <c r="AM31" i="31" s="1"/>
  <c r="E41" i="54" l="1"/>
  <c r="K4" i="30"/>
  <c r="K5" i="30"/>
  <c r="K20" i="30"/>
  <c r="K22" i="30" s="1"/>
  <c r="P60" i="44"/>
  <c r="P63" i="44"/>
  <c r="P81" i="44" s="1"/>
  <c r="P93" i="44" s="1"/>
  <c r="C52" i="39"/>
  <c r="H39" i="30"/>
  <c r="C74" i="31"/>
  <c r="D43" i="31"/>
  <c r="AA15" i="31"/>
  <c r="AN19" i="31"/>
  <c r="AN29" i="31" s="1"/>
  <c r="AB12" i="31"/>
  <c r="AN22" i="31" s="1"/>
  <c r="AN31" i="31" s="1"/>
  <c r="AC7" i="31"/>
  <c r="AO20" i="31" s="1"/>
  <c r="AO30" i="31" s="1"/>
  <c r="P62" i="44" l="1"/>
  <c r="P80" i="44" s="1"/>
  <c r="P78" i="44"/>
  <c r="P75" i="44"/>
  <c r="D52" i="39"/>
  <c r="E43" i="31"/>
  <c r="P70" i="44"/>
  <c r="K6" i="30"/>
  <c r="AB15" i="31"/>
  <c r="AO19" i="31"/>
  <c r="AO29" i="31" s="1"/>
  <c r="AD7" i="31"/>
  <c r="AP20" i="31" s="1"/>
  <c r="AP30" i="31" s="1"/>
  <c r="AC12" i="31"/>
  <c r="AO22" i="31" s="1"/>
  <c r="AO31" i="31" s="1"/>
  <c r="D72" i="31"/>
  <c r="P88" i="44" l="1"/>
  <c r="P66" i="44"/>
  <c r="P89" i="44"/>
  <c r="P92" i="44"/>
  <c r="P84" i="44"/>
  <c r="E52" i="39"/>
  <c r="F43" i="31"/>
  <c r="P74" i="44"/>
  <c r="P71" i="44"/>
  <c r="AP19" i="31"/>
  <c r="AP29" i="31" s="1"/>
  <c r="AC15" i="31"/>
  <c r="AE7" i="31"/>
  <c r="AQ20" i="31" s="1"/>
  <c r="AQ30" i="31" s="1"/>
  <c r="AD12" i="31"/>
  <c r="AP22" i="31" s="1"/>
  <c r="AP31" i="31" s="1"/>
  <c r="P67" i="44" l="1"/>
  <c r="P85" i="44"/>
  <c r="P94" i="44"/>
  <c r="F52" i="39"/>
  <c r="G43" i="31"/>
  <c r="P76" i="44"/>
  <c r="AQ19" i="31"/>
  <c r="AQ29" i="31" s="1"/>
  <c r="AD15" i="31"/>
  <c r="AF7" i="31"/>
  <c r="AR20" i="31" s="1"/>
  <c r="AR30" i="31" s="1"/>
  <c r="AE12" i="31"/>
  <c r="AQ22" i="31" s="1"/>
  <c r="AQ31" i="31" s="1"/>
  <c r="G52" i="39" l="1"/>
  <c r="H43" i="31"/>
  <c r="AR19" i="31"/>
  <c r="AR29" i="31" s="1"/>
  <c r="AE15" i="31"/>
  <c r="AF12" i="31"/>
  <c r="AR22" i="31" s="1"/>
  <c r="AR31" i="31" s="1"/>
  <c r="AG7" i="31"/>
  <c r="AS20" i="31" s="1"/>
  <c r="AS30" i="31" s="1"/>
  <c r="H52" i="39" l="1"/>
  <c r="I43" i="31"/>
  <c r="AS19" i="31"/>
  <c r="AS29" i="31" s="1"/>
  <c r="I76" i="30"/>
  <c r="AF15" i="31"/>
  <c r="AH7" i="31"/>
  <c r="AT20" i="31" s="1"/>
  <c r="AT30" i="31" s="1"/>
  <c r="AG12" i="31"/>
  <c r="AS22" i="31" s="1"/>
  <c r="AS31" i="31" s="1"/>
  <c r="I52" i="39" l="1"/>
  <c r="J43" i="31"/>
  <c r="AG15" i="31"/>
  <c r="AT19" i="31"/>
  <c r="AT29" i="31" s="1"/>
  <c r="AH12" i="31"/>
  <c r="AT22" i="31" s="1"/>
  <c r="AT31" i="31" s="1"/>
  <c r="AI7" i="31"/>
  <c r="AU20" i="31" s="1"/>
  <c r="AU30" i="31" s="1"/>
  <c r="I32" i="30"/>
  <c r="I14" i="30"/>
  <c r="I43" i="30" s="1"/>
  <c r="J52" i="39" l="1"/>
  <c r="K43" i="31"/>
  <c r="AU19" i="31"/>
  <c r="AU29" i="31" s="1"/>
  <c r="I77" i="30"/>
  <c r="I79" i="30"/>
  <c r="AH15" i="31"/>
  <c r="AJ7" i="31"/>
  <c r="AV20" i="31" s="1"/>
  <c r="AV30" i="31" s="1"/>
  <c r="AI12" i="31"/>
  <c r="AU22" i="31" s="1"/>
  <c r="AU31" i="31" s="1"/>
  <c r="I55" i="30"/>
  <c r="K52" i="39" l="1"/>
  <c r="L43" i="31"/>
  <c r="AI15" i="31"/>
  <c r="AV19" i="31"/>
  <c r="AV29" i="31" s="1"/>
  <c r="J40" i="30"/>
  <c r="J20" i="30"/>
  <c r="J16" i="30"/>
  <c r="J9" i="30"/>
  <c r="J5" i="30"/>
  <c r="J34" i="30"/>
  <c r="J29" i="30"/>
  <c r="J12" i="30"/>
  <c r="J30" i="30"/>
  <c r="J21" i="30"/>
  <c r="J4" i="30"/>
  <c r="J13" i="30"/>
  <c r="J6" i="30"/>
  <c r="J22" i="30"/>
  <c r="J31" i="30"/>
  <c r="J25" i="30"/>
  <c r="J32" i="30"/>
  <c r="J14" i="30"/>
  <c r="AK7" i="31"/>
  <c r="AW20" i="31" s="1"/>
  <c r="AW30" i="31" s="1"/>
  <c r="AJ12" i="31"/>
  <c r="AV22" i="31" s="1"/>
  <c r="AV31" i="31" s="1"/>
  <c r="L52" i="39" l="1"/>
  <c r="M43" i="31"/>
  <c r="AW19" i="31"/>
  <c r="AW29" i="31" s="1"/>
  <c r="AJ15" i="31"/>
  <c r="AK12" i="31"/>
  <c r="AW22" i="31" s="1"/>
  <c r="AW31" i="31" s="1"/>
  <c r="AL7" i="31"/>
  <c r="AX20" i="31" s="1"/>
  <c r="O28" i="44"/>
  <c r="G5" i="44" s="1"/>
  <c r="P39" i="31" l="1"/>
  <c r="P42" i="31" s="1"/>
  <c r="T39" i="31"/>
  <c r="T42" i="31" s="1"/>
  <c r="X39" i="31"/>
  <c r="X42" i="31" s="1"/>
  <c r="O39" i="31"/>
  <c r="Q39" i="31"/>
  <c r="Q42" i="31" s="1"/>
  <c r="U39" i="31"/>
  <c r="U42" i="31" s="1"/>
  <c r="Y39" i="31"/>
  <c r="Y42" i="31" s="1"/>
  <c r="W39" i="31"/>
  <c r="W42" i="31" s="1"/>
  <c r="R39" i="31"/>
  <c r="R42" i="31" s="1"/>
  <c r="V39" i="31"/>
  <c r="V42" i="31" s="1"/>
  <c r="Z39" i="31"/>
  <c r="Z42" i="31" s="1"/>
  <c r="S39" i="31"/>
  <c r="S42" i="31" s="1"/>
  <c r="M52" i="39"/>
  <c r="N43" i="31"/>
  <c r="N52" i="39" s="1"/>
  <c r="AX30" i="31"/>
  <c r="F59" i="31" s="1"/>
  <c r="F49" i="31"/>
  <c r="AK15" i="31"/>
  <c r="AX19" i="31"/>
  <c r="AX29" i="31" s="1"/>
  <c r="F58" i="31" s="1"/>
  <c r="G58" i="31" s="1"/>
  <c r="I80" i="30"/>
  <c r="I83" i="30" s="1"/>
  <c r="AL12" i="31"/>
  <c r="AX22" i="31" s="1"/>
  <c r="AX31" i="31" s="1"/>
  <c r="F60" i="31" s="1"/>
  <c r="AM7" i="31"/>
  <c r="AM12" i="31" s="1"/>
  <c r="AM15" i="31" s="1"/>
  <c r="I56" i="30"/>
  <c r="Q61" i="44" l="1"/>
  <c r="Q79" i="44" s="1"/>
  <c r="G49" i="31"/>
  <c r="M25" i="30"/>
  <c r="M26" i="30" s="1"/>
  <c r="F36" i="54" s="1"/>
  <c r="G59" i="31"/>
  <c r="M21" i="30"/>
  <c r="G60" i="31"/>
  <c r="M9" i="30"/>
  <c r="F48" i="31"/>
  <c r="G48" i="31" s="1"/>
  <c r="H58" i="31" s="1"/>
  <c r="F57" i="31"/>
  <c r="F51" i="31"/>
  <c r="AL15" i="31"/>
  <c r="AN7" i="31"/>
  <c r="AN12" i="31" s="1"/>
  <c r="AN15" i="31" s="1"/>
  <c r="F41" i="54" l="1"/>
  <c r="H59" i="31"/>
  <c r="M5" i="30"/>
  <c r="G51" i="31"/>
  <c r="M20" i="30"/>
  <c r="M22" i="30" s="1"/>
  <c r="G57" i="31"/>
  <c r="H57" i="31" s="1"/>
  <c r="Q60" i="44"/>
  <c r="Q63" i="44"/>
  <c r="M4" i="30"/>
  <c r="AO7" i="31"/>
  <c r="AO12" i="31" s="1"/>
  <c r="AO15" i="31" s="1"/>
  <c r="Q81" i="44" l="1"/>
  <c r="Q93" i="44" s="1"/>
  <c r="Q62" i="44"/>
  <c r="Q80" i="44" s="1"/>
  <c r="Q78" i="44"/>
  <c r="M6" i="30"/>
  <c r="Q75" i="44"/>
  <c r="Q70" i="44"/>
  <c r="M32" i="30"/>
  <c r="AP7" i="31"/>
  <c r="AP12" i="31" s="1"/>
  <c r="AP15" i="31" s="1"/>
  <c r="E72" i="31"/>
  <c r="Q88" i="44" l="1"/>
  <c r="I79" i="44"/>
  <c r="Q92" i="44"/>
  <c r="Q84" i="44"/>
  <c r="Q89" i="44"/>
  <c r="Q66" i="44"/>
  <c r="Q74" i="44"/>
  <c r="Q71" i="44"/>
  <c r="AQ7" i="31"/>
  <c r="AQ12" i="31" s="1"/>
  <c r="AQ15" i="31" s="1"/>
  <c r="H12" i="44" l="1"/>
  <c r="Q94" i="44"/>
  <c r="Q85" i="44"/>
  <c r="Q67" i="44"/>
  <c r="Q76" i="44"/>
  <c r="AR7" i="31"/>
  <c r="AR12" i="31" s="1"/>
  <c r="AR15" i="31" s="1"/>
  <c r="AS7" i="31" l="1"/>
  <c r="AS12" i="31" s="1"/>
  <c r="AS15" i="31" s="1"/>
  <c r="K76" i="30" l="1"/>
  <c r="AT7" i="31"/>
  <c r="AT12" i="31" s="1"/>
  <c r="AT15" i="31" s="1"/>
  <c r="AU7" i="31" l="1"/>
  <c r="AU12" i="31" s="1"/>
  <c r="AU15" i="31" s="1"/>
  <c r="K14" i="30"/>
  <c r="K43" i="30" s="1"/>
  <c r="K32" i="30"/>
  <c r="K79" i="30" l="1"/>
  <c r="K77" i="30"/>
  <c r="AV7" i="31"/>
  <c r="AV12" i="31" s="1"/>
  <c r="AV15" i="31" s="1"/>
  <c r="L14" i="30"/>
  <c r="K55" i="30"/>
  <c r="L40" i="30" l="1"/>
  <c r="L20" i="30"/>
  <c r="L16" i="30"/>
  <c r="L9" i="30"/>
  <c r="L5" i="30"/>
  <c r="L34" i="30"/>
  <c r="L29" i="30"/>
  <c r="L12" i="30"/>
  <c r="L30" i="30"/>
  <c r="L21" i="30"/>
  <c r="L4" i="30"/>
  <c r="L22" i="30"/>
  <c r="L13" i="30"/>
  <c r="L6" i="30"/>
  <c r="L31" i="30"/>
  <c r="L25" i="30"/>
  <c r="L32" i="30"/>
  <c r="AW7" i="31"/>
  <c r="AX7" i="31" s="1"/>
  <c r="AX12" i="31" s="1"/>
  <c r="AX15" i="31" s="1"/>
  <c r="AW12" i="31" l="1"/>
  <c r="AW15" i="31" s="1"/>
  <c r="P28" i="44"/>
  <c r="I5" i="44" s="1"/>
  <c r="AB39" i="31" l="1"/>
  <c r="AB42" i="31" s="1"/>
  <c r="AF39" i="31"/>
  <c r="AF42" i="31" s="1"/>
  <c r="AJ39" i="31"/>
  <c r="AJ42" i="31" s="1"/>
  <c r="AA39" i="31"/>
  <c r="AC39" i="31"/>
  <c r="AC42" i="31" s="1"/>
  <c r="AG39" i="31"/>
  <c r="AG42" i="31" s="1"/>
  <c r="AK39" i="31"/>
  <c r="AK42" i="31" s="1"/>
  <c r="AI39" i="31"/>
  <c r="AI42" i="31" s="1"/>
  <c r="AD39" i="31"/>
  <c r="AD42" i="31" s="1"/>
  <c r="AH39" i="31"/>
  <c r="AH42" i="31" s="1"/>
  <c r="AL39" i="31"/>
  <c r="AL42" i="31" s="1"/>
  <c r="AE39" i="31"/>
  <c r="AE42" i="31" s="1"/>
  <c r="D69" i="31"/>
  <c r="I39" i="30" s="1"/>
  <c r="O42" i="31"/>
  <c r="O43" i="31" s="1"/>
  <c r="K80" i="30"/>
  <c r="K83" i="30" s="1"/>
  <c r="K56" i="30"/>
  <c r="E69" i="31" l="1"/>
  <c r="K39" i="30" s="1"/>
  <c r="AA42" i="31"/>
  <c r="O52" i="39"/>
  <c r="P43" i="31"/>
  <c r="D74" i="31"/>
  <c r="E74" i="31" l="1"/>
  <c r="J39" i="30"/>
  <c r="I41" i="30"/>
  <c r="O90" i="44" s="1"/>
  <c r="O86" i="44" s="1"/>
  <c r="P52" i="39"/>
  <c r="Q43" i="31"/>
  <c r="L39" i="30" l="1"/>
  <c r="K41" i="30"/>
  <c r="P90" i="44" s="1"/>
  <c r="P86" i="44" s="1"/>
  <c r="Q52" i="39"/>
  <c r="R43" i="31"/>
  <c r="O72" i="44"/>
  <c r="O68" i="44" s="1"/>
  <c r="I44" i="30"/>
  <c r="J41" i="30"/>
  <c r="L41" i="30" l="1"/>
  <c r="K44" i="30"/>
  <c r="P72" i="44"/>
  <c r="P68" i="44" s="1"/>
  <c r="R52" i="39"/>
  <c r="S43" i="31"/>
  <c r="F72" i="31"/>
  <c r="S52" i="39" l="1"/>
  <c r="T43" i="31"/>
  <c r="K91" i="30"/>
  <c r="T52" i="39" l="1"/>
  <c r="U43" i="31"/>
  <c r="M76" i="30"/>
  <c r="U52" i="39" l="1"/>
  <c r="V43" i="31"/>
  <c r="V52" i="39" l="1"/>
  <c r="W43" i="31"/>
  <c r="M79" i="30"/>
  <c r="M14" i="30"/>
  <c r="M43" i="30" s="1"/>
  <c r="W52" i="39" l="1"/>
  <c r="X43" i="31"/>
  <c r="M77" i="30"/>
  <c r="L91" i="30"/>
  <c r="X52" i="39" l="1"/>
  <c r="Y43" i="31"/>
  <c r="N40" i="30"/>
  <c r="N20" i="30"/>
  <c r="N16" i="30"/>
  <c r="N9" i="30"/>
  <c r="N34" i="30"/>
  <c r="N5" i="30"/>
  <c r="N29" i="30"/>
  <c r="N12" i="30"/>
  <c r="N30" i="30"/>
  <c r="N4" i="30"/>
  <c r="N6" i="30"/>
  <c r="N21" i="30"/>
  <c r="N22" i="30"/>
  <c r="N13" i="30"/>
  <c r="N31" i="30"/>
  <c r="N32" i="30"/>
  <c r="N25" i="30"/>
  <c r="N14" i="30"/>
  <c r="M55" i="30"/>
  <c r="Y52" i="39" l="1"/>
  <c r="Z43" i="31"/>
  <c r="Q28" i="44"/>
  <c r="J5" i="44" s="1"/>
  <c r="AN39" i="31" l="1"/>
  <c r="AN42" i="31" s="1"/>
  <c r="AR39" i="31"/>
  <c r="AR42" i="31" s="1"/>
  <c r="AV39" i="31"/>
  <c r="AV42" i="31" s="1"/>
  <c r="AP39" i="31"/>
  <c r="AP42" i="31" s="1"/>
  <c r="AX39" i="31"/>
  <c r="AX42" i="31" s="1"/>
  <c r="AU39" i="31"/>
  <c r="AU42" i="31" s="1"/>
  <c r="AO39" i="31"/>
  <c r="AO42" i="31" s="1"/>
  <c r="AS39" i="31"/>
  <c r="AS42" i="31" s="1"/>
  <c r="AW39" i="31"/>
  <c r="AW42" i="31" s="1"/>
  <c r="AT39" i="31"/>
  <c r="AT42" i="31" s="1"/>
  <c r="AQ39" i="31"/>
  <c r="AQ42" i="31" s="1"/>
  <c r="AM39" i="31"/>
  <c r="Z52" i="39"/>
  <c r="AA43" i="31"/>
  <c r="M80" i="30"/>
  <c r="M83" i="30" s="1"/>
  <c r="M56" i="30"/>
  <c r="F69" i="31" l="1"/>
  <c r="M39" i="30" s="1"/>
  <c r="AM42" i="31"/>
  <c r="AA52" i="39"/>
  <c r="AB43" i="31"/>
  <c r="I46" i="30"/>
  <c r="I48" i="30" s="1"/>
  <c r="AB52" i="39" l="1"/>
  <c r="AC43" i="31"/>
  <c r="F74" i="31"/>
  <c r="O29" i="44"/>
  <c r="N39" i="30" l="1"/>
  <c r="M41" i="30"/>
  <c r="Q90" i="44" s="1"/>
  <c r="Q86" i="44" s="1"/>
  <c r="AC52" i="39"/>
  <c r="AD43" i="31"/>
  <c r="K46" i="30"/>
  <c r="K48" i="30" s="1"/>
  <c r="AD52" i="39" l="1"/>
  <c r="AE43" i="31"/>
  <c r="N41" i="30"/>
  <c r="Q72" i="44"/>
  <c r="Q68" i="44" s="1"/>
  <c r="M44" i="30"/>
  <c r="P29" i="44"/>
  <c r="AE52" i="39" l="1"/>
  <c r="AF43" i="31"/>
  <c r="M46" i="30"/>
  <c r="M48" i="30" s="1"/>
  <c r="AF52" i="39" l="1"/>
  <c r="AG43" i="31"/>
  <c r="Q29" i="44"/>
  <c r="AG52" i="39" l="1"/>
  <c r="AH43" i="31"/>
  <c r="G41" i="30"/>
  <c r="N90" i="44" l="1"/>
  <c r="N86" i="44" s="1"/>
  <c r="I84" i="44" s="1"/>
  <c r="G44" i="30"/>
  <c r="G46" i="30" s="1"/>
  <c r="G48" i="30" s="1"/>
  <c r="N72" i="44"/>
  <c r="AH52" i="39"/>
  <c r="AI43" i="31"/>
  <c r="H41" i="30"/>
  <c r="I88" i="44" l="1"/>
  <c r="N68" i="44"/>
  <c r="AI52" i="39"/>
  <c r="AJ43" i="31"/>
  <c r="N29" i="44"/>
  <c r="AJ52" i="39" l="1"/>
  <c r="AK43" i="31"/>
  <c r="AK52" i="39" l="1"/>
  <c r="AL43" i="31"/>
  <c r="AL52" i="39" l="1"/>
  <c r="AM43" i="31"/>
  <c r="AM52" i="39" l="1"/>
  <c r="AN43" i="31"/>
  <c r="AN52" i="39" l="1"/>
  <c r="AO43" i="31"/>
  <c r="AO52" i="39" l="1"/>
  <c r="AP43" i="31"/>
  <c r="AP52" i="39" l="1"/>
  <c r="AQ43" i="31"/>
  <c r="AQ52" i="39" l="1"/>
  <c r="AR43" i="31"/>
  <c r="AR52" i="39" l="1"/>
  <c r="AS43" i="31"/>
  <c r="AS52" i="39" l="1"/>
  <c r="AT43" i="31"/>
  <c r="AT52" i="39" l="1"/>
  <c r="AU43" i="31"/>
  <c r="AU52" i="39" l="1"/>
  <c r="AV43" i="31"/>
  <c r="AV52" i="39" l="1"/>
  <c r="AW43" i="31"/>
  <c r="AW52" i="39" l="1"/>
  <c r="AX43" i="31"/>
  <c r="G50" i="30" s="1"/>
  <c r="G35" i="39" s="1"/>
  <c r="AX52" i="39" l="1"/>
</calcChain>
</file>

<file path=xl/comments1.xml><?xml version="1.0" encoding="utf-8"?>
<comments xmlns="http://schemas.openxmlformats.org/spreadsheetml/2006/main">
  <authors>
    <author>Dana Willmer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How many TOTAL new Dynamics customers will you add in year 1, whether in perpetual or subscription form?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How many TOTAL new Dynamics customers will you add in year 2, whether in perpetual or subscription form?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How many TOTAL new Dynamics customers will you add in year 3, whether in perpetual or subscription form?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How many TOTAL new Dynamics customers will you add in year 4, whether in perpetual or subscription form?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Given your customer add assumptions above, what will be your TOTAL sales and marketing costs to acquire these customers, in year 1?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Given your customer add assumptions above, what will be your TOTAL sales and marketing costs to acquire these customers, in year 2?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Given your customer add assumptions above, what will be your TOTAL sales and marketing costs to acquire these customers, in year 3?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Given your customer add assumptions above, what will be your TOTAL sales and marketing costs to acquire these customers, in year 4?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What will be the average size of each new deal sold, whether perpetual or subscription, in terms of users?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Given your customer add assumptions above, what other TOTAL fixed investments will you have to make in R&amp;D, training, or G&amp;A, in year 1?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Given your customer add assumptions above, what will be your TOTAL sales and marketing costs to acquire these customers, in year 2?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Given your customer add assumptions above, what will be your TOTAL sales and marketing costs to acquire these customers, in year 3?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Given your customer add assumptions above, what will be your TOTAL sales and marketing costs to acquire these customers, in year 4?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For each new perpetual deal, what do you expect to charge in terms of implementation fees in the first year?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For each new subscription deal, what do you expect to charge in terms of implementation fees in the first year?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For each new perpetual deal, what do you expect to charge in ongoing project fees, per year?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For each new subscription deal, what do you expect to charge in ongoing project fees, per year?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For each new perpetual deal, what will be the PER USER  cost to the customer for Dynamics licenses and any ISV add-ons, combined?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For each new subscription deal, what do you expect to charge the customer for the base Dynamics license, and any ISV add-ons, PER USER per month?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For each new perpetual deal, what will you charge the customer PER USER for your own IP?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For each subscription deal, what do you expect to charge for your own IP, PER USER PER MONTH?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What portion of your new deals, whether perpetual or subscription, will have your own IP?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What is your expected gross margin on project services?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For all  perpetual deals, what margin will you earn on new Dynamics or ISV licenses sold?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For all perpetual deals, what margin will you earn on ongoing enhancements for Dynamics or ISV licenses sold?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What portion of your new deals, on average, will be sold in perpetual versus subscription form?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What is your expected groww margin on any of your own IP, whether sold in perpetual license or subscription form?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For subscription deals only, what will be your average cost for the base Dynamics license, and any ISV add-ons, PER USER PER MONTH?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For subscription deals only, what will be your average hosting cost and support costs, PER USER PER MONTH?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What is the average fully loaded annual cost to you of a "traditional" project services delivery resource?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How long can you reliably predict your recurring margin stream will last, in years?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What will be the average fully loaded annual cost to you of a Cloud services delivery resource?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How long can you reliably predict your non-recurring margin stream will last, in years?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For your subscription customer base overall, what will be the annual chrun rate? This must be expressed as a positive number (eg churn of 10% is 10%, not -10%)</t>
        </r>
      </text>
    </comment>
  </commentList>
</comments>
</file>

<file path=xl/sharedStrings.xml><?xml version="1.0" encoding="utf-8"?>
<sst xmlns="http://schemas.openxmlformats.org/spreadsheetml/2006/main" count="231" uniqueCount="140">
  <si>
    <t>Total Revenues</t>
  </si>
  <si>
    <t>Total Expenses</t>
  </si>
  <si>
    <t>Operating Margin</t>
  </si>
  <si>
    <t>EBITDA</t>
  </si>
  <si>
    <t>Year 2</t>
  </si>
  <si>
    <t>Year 3</t>
  </si>
  <si>
    <t>Year 4</t>
  </si>
  <si>
    <t>Year 1</t>
  </si>
  <si>
    <t>% of revenue</t>
  </si>
  <si>
    <t>year 2</t>
  </si>
  <si>
    <t>year 3</t>
  </si>
  <si>
    <t>year 4</t>
  </si>
  <si>
    <t>Operating Expenses</t>
  </si>
  <si>
    <t>total operating expenses</t>
  </si>
  <si>
    <t>Year</t>
  </si>
  <si>
    <t>Month</t>
  </si>
  <si>
    <t>year 1</t>
  </si>
  <si>
    <t>Monthly Cumulative Cash Flow</t>
  </si>
  <si>
    <t>Starting</t>
  </si>
  <si>
    <t>Ending</t>
  </si>
  <si>
    <t>total</t>
  </si>
  <si>
    <t>Revenue</t>
  </si>
  <si>
    <t>COGS</t>
  </si>
  <si>
    <t>OPEX</t>
  </si>
  <si>
    <t>Cloud Services</t>
  </si>
  <si>
    <t>COGS (Cloud Services)</t>
  </si>
  <si>
    <t>Monthly Cash Flow (Cloud)</t>
  </si>
  <si>
    <t>Cloud</t>
  </si>
  <si>
    <t>FTE's</t>
  </si>
  <si>
    <t>revenue</t>
  </si>
  <si>
    <t>Traditional</t>
  </si>
  <si>
    <t>Professional Services (Traditional)</t>
  </si>
  <si>
    <t>Professional Services (Cloud)</t>
  </si>
  <si>
    <t>Other</t>
  </si>
  <si>
    <t>Traditional Software</t>
  </si>
  <si>
    <t>Traditional Services</t>
  </si>
  <si>
    <t>Cloud Software</t>
  </si>
  <si>
    <t>Own IP Subscriptions</t>
  </si>
  <si>
    <t>COGS (Traditional Software)</t>
  </si>
  <si>
    <t>COGS (Traditional Services)</t>
  </si>
  <si>
    <t>COGS (Cloud Software)</t>
  </si>
  <si>
    <t>IP Form</t>
  </si>
  <si>
    <t>Subscription</t>
  </si>
  <si>
    <t>Perpetual</t>
  </si>
  <si>
    <t>New Customer Adds (Perpetual)</t>
  </si>
  <si>
    <t>New Customer Adds (Subscription)</t>
  </si>
  <si>
    <t>Total New Customers (Perpetual)</t>
  </si>
  <si>
    <t>Total New Customers (Subscription)</t>
  </si>
  <si>
    <t>Total New Customers with IP (Perpetual)</t>
  </si>
  <si>
    <t>Total New Customers with IP (Subscription)</t>
  </si>
  <si>
    <t>New Customer Perpetual License Revenue</t>
  </si>
  <si>
    <t>New Customer Perpetual Implementation Revenue</t>
  </si>
  <si>
    <t>New Customer Subscription License Revenue</t>
  </si>
  <si>
    <t>New Customer Subscription Implementation Revenue</t>
  </si>
  <si>
    <t>New Customer Subscription IP Revenue</t>
  </si>
  <si>
    <t>Total New Users (Subscription)</t>
  </si>
  <si>
    <t>New Customer Perpetual License Costs</t>
  </si>
  <si>
    <t>New Customer Perpetual Implementation Costs</t>
  </si>
  <si>
    <t>New Customer Perpetual Maintenance Revenue</t>
  </si>
  <si>
    <t>New Customer Subscription License Costs</t>
  </si>
  <si>
    <t>New Customer Subscription Implementation Costs</t>
  </si>
  <si>
    <t>Traditional Software &amp; Services</t>
  </si>
  <si>
    <t>Hosting Costs</t>
  </si>
  <si>
    <t>Slider Bar Calculations</t>
  </si>
  <si>
    <t>Subscription Churn, per annum</t>
  </si>
  <si>
    <t>Own IP</t>
  </si>
  <si>
    <t>Traditional Sales Costs (yr 0)</t>
  </si>
  <si>
    <t>Traditional Sales Cost Reduction</t>
  </si>
  <si>
    <t>Traditional Marketing Costs (yr 0)</t>
  </si>
  <si>
    <t>Traditional Marketing Costs Reduction</t>
  </si>
  <si>
    <t>G&amp;A Cost Reduction</t>
  </si>
  <si>
    <t>Own IP License Fee</t>
  </si>
  <si>
    <t>Total New Perpetual Users with IP</t>
  </si>
  <si>
    <t>Total New Subscription Users with IP</t>
  </si>
  <si>
    <t>Own IP Perpetual Licenses &amp; Maintenance</t>
  </si>
  <si>
    <t xml:space="preserve"> </t>
  </si>
  <si>
    <t>Non-Recurring</t>
  </si>
  <si>
    <t>Recurring</t>
  </si>
  <si>
    <t>Recurring Revenue</t>
  </si>
  <si>
    <t>Recurring Margin</t>
  </si>
  <si>
    <t>OM</t>
  </si>
  <si>
    <t>Approximate Incremental Working Capital Required</t>
  </si>
  <si>
    <t>Valuation</t>
  </si>
  <si>
    <t>New Customer Perpetual IP License Revenue</t>
  </si>
  <si>
    <t>New Customer Perpetual IP Enhancement Revenue</t>
  </si>
  <si>
    <t>New Customer Perpetual IP Maintenance Revenue</t>
  </si>
  <si>
    <t>IP Attach Rate</t>
  </si>
  <si>
    <t>Upfront Project Fees</t>
  </si>
  <si>
    <t>Ongoing Project Fees</t>
  </si>
  <si>
    <t>Step 1 - Set Average Deal Size (Overall Users)</t>
  </si>
  <si>
    <t>Step 2 - Set Fee Structure</t>
  </si>
  <si>
    <t>Step 3 - Set Margin Structure</t>
  </si>
  <si>
    <t>Gross Margin (Project Services)</t>
  </si>
  <si>
    <t>Anticipated Gross IP Margin</t>
  </si>
  <si>
    <t>Customer Acquisition Costs</t>
  </si>
  <si>
    <t>Other Fixed Costs</t>
  </si>
  <si>
    <t>Hosting &amp; Support Cost</t>
  </si>
  <si>
    <t>New Customer Perpetual IP Costs</t>
  </si>
  <si>
    <t>New Customer Subscription IP Costs</t>
  </si>
  <si>
    <t>Hosting &amp; Service Costs</t>
  </si>
  <si>
    <t>Contribution Margin</t>
  </si>
  <si>
    <t>Non-Recurring Revenue</t>
  </si>
  <si>
    <t>Non-Recurring Margin</t>
  </si>
  <si>
    <t>Gross Margin</t>
  </si>
  <si>
    <t>Overall</t>
  </si>
  <si>
    <t>P&amp;L Impact</t>
  </si>
  <si>
    <t>Anticipated Valuation Impact</t>
  </si>
  <si>
    <t>Revenue Multiple</t>
  </si>
  <si>
    <t>CM Multiple</t>
  </si>
  <si>
    <t>Hosting &amp; Support Costs</t>
  </si>
  <si>
    <t>Gross Margin (Dynamics &amp; IP Enhancement)</t>
  </si>
  <si>
    <t>Dynamics Subscription Cost</t>
  </si>
  <si>
    <t>Dynamics License Fee</t>
  </si>
  <si>
    <t>Today</t>
  </si>
  <si>
    <t>Dynamics Perpetual Licenses &amp; Maintenance</t>
  </si>
  <si>
    <t>Dynamics Subscriptions</t>
  </si>
  <si>
    <t>New Customer Perpetual Maintenance Costs</t>
  </si>
  <si>
    <t>Gross Margin (New Dynamics Licenses)</t>
  </si>
  <si>
    <t>Yr1</t>
  </si>
  <si>
    <t>Yr2</t>
  </si>
  <si>
    <t>Yr3</t>
  </si>
  <si>
    <t>Yr4</t>
  </si>
  <si>
    <t>Potential Valuation*</t>
  </si>
  <si>
    <t>Traditional Revenue Business</t>
  </si>
  <si>
    <t>Recurring Revenue (Cloud) Business</t>
  </si>
  <si>
    <t>0.2-1.5x</t>
  </si>
  <si>
    <t>2-6x</t>
  </si>
  <si>
    <t>EBITDA Multiple</t>
  </si>
  <si>
    <t>2-2.5x</t>
  </si>
  <si>
    <t>5-14x</t>
  </si>
  <si>
    <t>* Source: IDC Partner Valuation Study 2014</t>
  </si>
  <si>
    <t>Dynamics Financial Model</t>
  </si>
  <si>
    <t>Dynamics</t>
  </si>
  <si>
    <t>Step 4 - Set Delivery Resource Costs</t>
  </si>
  <si>
    <t>Step 5 - Set Annual Customer Adds</t>
  </si>
  <si>
    <t>Step 6 - Set Customer Acquisition Costs</t>
  </si>
  <si>
    <t>Step 7 - Set Other Fixed Investments</t>
  </si>
  <si>
    <t>Step 8 - Set IP Attach Rate</t>
  </si>
  <si>
    <t>Step 9 - Set New Deal/IP Monetization Form</t>
  </si>
  <si>
    <t>Step 10 - Set Margin Multiplier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</si>
</sst>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;[Red]\-&quot;$&quot;#,##0"/>
    <numFmt numFmtId="164" formatCode="&quot;$&quot;#,##0"/>
    <numFmt numFmtId="165" formatCode="0.0%"/>
    <numFmt numFmtId="166" formatCode="0.0"/>
    <numFmt numFmtId="167" formatCode="#,##0_ ;[Red]\-#,##0\ "/>
    <numFmt numFmtId="168" formatCode="&quot;$&quot;#,##0.00"/>
    <numFmt numFmtId="169" formatCode="#,##0.0"/>
    <numFmt numFmtId="170" formatCode="#,##0.000"/>
    <numFmt numFmtId="171" formatCode="[$€-2]\ #,##0"/>
    <numFmt numFmtId="172" formatCode="[$$-409]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2"/>
      <color theme="0"/>
      <name val="Calibri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7"/>
      <color rgb="FFFFFFFF"/>
      <name val="Segoe UI Semilight"/>
      <family val="2"/>
    </font>
    <font>
      <sz val="20"/>
      <color rgb="FF505050"/>
      <name val="Segoe UI"/>
      <family val="2"/>
    </font>
    <font>
      <sz val="11.8"/>
      <color rgb="FF505050"/>
      <name val="Segoe UI"/>
      <family val="2"/>
    </font>
    <font>
      <sz val="10"/>
      <color theme="1"/>
      <name val="Segoe UI"/>
      <family val="2"/>
    </font>
    <font>
      <b/>
      <sz val="10"/>
      <color theme="0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medium">
        <color rgb="FF008272"/>
      </top>
      <bottom style="medium">
        <color rgb="FF008272"/>
      </bottom>
      <diagonal/>
    </border>
    <border>
      <left/>
      <right style="medium">
        <color rgb="FF008272"/>
      </right>
      <top style="medium">
        <color rgb="FF008272"/>
      </top>
      <bottom style="medium">
        <color rgb="FF00827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8" fillId="3" borderId="0" xfId="0" applyFont="1" applyFill="1"/>
    <xf numFmtId="0" fontId="10" fillId="3" borderId="0" xfId="0" applyFont="1" applyFill="1"/>
    <xf numFmtId="3" fontId="8" fillId="3" borderId="0" xfId="0" applyNumberFormat="1" applyFont="1" applyFill="1"/>
    <xf numFmtId="164" fontId="8" fillId="3" borderId="0" xfId="0" applyNumberFormat="1" applyFont="1" applyFill="1"/>
    <xf numFmtId="1" fontId="8" fillId="3" borderId="0" xfId="0" applyNumberFormat="1" applyFont="1" applyFill="1"/>
    <xf numFmtId="2" fontId="8" fillId="3" borderId="0" xfId="0" applyNumberFormat="1" applyFont="1" applyFill="1"/>
    <xf numFmtId="0" fontId="10" fillId="3" borderId="0" xfId="0" applyFont="1" applyFill="1" applyAlignment="1">
      <alignment horizontal="right"/>
    </xf>
    <xf numFmtId="3" fontId="10" fillId="3" borderId="0" xfId="0" applyNumberFormat="1" applyFont="1" applyFill="1"/>
    <xf numFmtId="3" fontId="8" fillId="0" borderId="0" xfId="0" applyNumberFormat="1" applyFont="1" applyFill="1"/>
    <xf numFmtId="0" fontId="0" fillId="0" borderId="0" xfId="0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5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 wrapText="1"/>
    </xf>
    <xf numFmtId="165" fontId="4" fillId="0" borderId="0" xfId="1" applyNumberFormat="1" applyFont="1" applyProtection="1"/>
    <xf numFmtId="6" fontId="4" fillId="0" borderId="0" xfId="0" applyNumberFormat="1" applyFont="1" applyProtection="1"/>
    <xf numFmtId="165" fontId="4" fillId="0" borderId="0" xfId="1" applyNumberFormat="1" applyFont="1" applyBorder="1" applyProtection="1"/>
    <xf numFmtId="6" fontId="4" fillId="0" borderId="0" xfId="1" applyNumberFormat="1" applyFont="1" applyProtection="1"/>
    <xf numFmtId="165" fontId="7" fillId="0" borderId="0" xfId="1" applyNumberFormat="1" applyFont="1" applyProtection="1"/>
    <xf numFmtId="165" fontId="4" fillId="0" borderId="0" xfId="0" applyNumberFormat="1" applyFont="1" applyProtection="1"/>
    <xf numFmtId="167" fontId="4" fillId="2" borderId="0" xfId="0" applyNumberFormat="1" applyFont="1" applyFill="1" applyProtection="1"/>
    <xf numFmtId="165" fontId="4" fillId="2" borderId="0" xfId="0" applyNumberFormat="1" applyFont="1" applyFill="1" applyProtection="1"/>
    <xf numFmtId="0" fontId="4" fillId="2" borderId="0" xfId="0" applyFont="1" applyFill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Fill="1"/>
    <xf numFmtId="164" fontId="8" fillId="0" borderId="0" xfId="0" applyNumberFormat="1" applyFont="1" applyFill="1"/>
    <xf numFmtId="0" fontId="3" fillId="0" borderId="6" xfId="0" applyFont="1" applyBorder="1" applyAlignment="1" applyProtection="1">
      <alignment horizontal="center" vertical="center"/>
    </xf>
    <xf numFmtId="0" fontId="4" fillId="0" borderId="0" xfId="0" applyFont="1" applyFill="1" applyProtection="1"/>
    <xf numFmtId="164" fontId="4" fillId="0" borderId="0" xfId="0" applyNumberFormat="1" applyFont="1" applyFill="1" applyProtection="1"/>
    <xf numFmtId="3" fontId="0" fillId="0" borderId="0" xfId="0" applyNumberFormat="1"/>
    <xf numFmtId="3" fontId="8" fillId="0" borderId="0" xfId="0" applyNumberFormat="1" applyFont="1" applyFill="1" applyAlignment="1">
      <alignment horizontal="right"/>
    </xf>
    <xf numFmtId="0" fontId="3" fillId="0" borderId="0" xfId="0" applyFont="1"/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9" fontId="5" fillId="0" borderId="10" xfId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center" vertical="center" textRotation="90"/>
    </xf>
    <xf numFmtId="166" fontId="0" fillId="0" borderId="0" xfId="0" applyNumberFormat="1"/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left"/>
    </xf>
    <xf numFmtId="164" fontId="0" fillId="0" borderId="0" xfId="0" applyNumberFormat="1" applyProtection="1"/>
    <xf numFmtId="6" fontId="0" fillId="0" borderId="0" xfId="0" applyNumberFormat="1" applyProtection="1"/>
    <xf numFmtId="164" fontId="4" fillId="0" borderId="0" xfId="0" applyNumberFormat="1" applyFont="1" applyProtection="1"/>
    <xf numFmtId="164" fontId="7" fillId="0" borderId="0" xfId="0" applyNumberFormat="1" applyFont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textRotation="90"/>
    </xf>
    <xf numFmtId="168" fontId="4" fillId="0" borderId="0" xfId="0" applyNumberFormat="1" applyFont="1" applyProtection="1"/>
    <xf numFmtId="0" fontId="12" fillId="4" borderId="9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9" fontId="0" fillId="0" borderId="0" xfId="1" applyFont="1" applyAlignment="1" applyProtection="1">
      <alignment horizontal="left"/>
    </xf>
    <xf numFmtId="9" fontId="0" fillId="0" borderId="0" xfId="1" applyNumberFormat="1" applyFont="1" applyAlignment="1" applyProtection="1">
      <alignment horizontal="left"/>
    </xf>
    <xf numFmtId="3" fontId="0" fillId="0" borderId="0" xfId="0" applyNumberFormat="1" applyProtection="1"/>
    <xf numFmtId="0" fontId="4" fillId="0" borderId="0" xfId="0" applyFont="1" applyProtection="1"/>
    <xf numFmtId="164" fontId="8" fillId="0" borderId="0" xfId="0" applyNumberFormat="1" applyFont="1" applyFill="1" applyAlignment="1">
      <alignment horizontal="right"/>
    </xf>
    <xf numFmtId="165" fontId="0" fillId="0" borderId="0" xfId="1" applyNumberFormat="1" applyFont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Font="1" applyFill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/>
      <protection locked="0"/>
    </xf>
    <xf numFmtId="9" fontId="2" fillId="0" borderId="6" xfId="1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horizontal="right"/>
    </xf>
    <xf numFmtId="0" fontId="0" fillId="0" borderId="0" xfId="0" applyBorder="1" applyAlignment="1" applyProtection="1">
      <alignment horizontal="center"/>
      <protection locked="0"/>
    </xf>
    <xf numFmtId="170" fontId="8" fillId="3" borderId="0" xfId="0" applyNumberFormat="1" applyFont="1" applyFill="1"/>
    <xf numFmtId="6" fontId="0" fillId="0" borderId="0" xfId="0" applyNumberFormat="1"/>
    <xf numFmtId="0" fontId="0" fillId="0" borderId="0" xfId="0"/>
    <xf numFmtId="164" fontId="8" fillId="2" borderId="0" xfId="0" applyNumberFormat="1" applyFont="1" applyFill="1"/>
    <xf numFmtId="4" fontId="8" fillId="3" borderId="0" xfId="0" applyNumberFormat="1" applyFont="1" applyFill="1"/>
    <xf numFmtId="0" fontId="0" fillId="0" borderId="1" xfId="0" applyBorder="1" applyAlignment="1" applyProtection="1">
      <alignment horizontal="right"/>
    </xf>
    <xf numFmtId="9" fontId="4" fillId="0" borderId="0" xfId="1" applyFont="1" applyFill="1" applyProtection="1"/>
    <xf numFmtId="0" fontId="3" fillId="0" borderId="0" xfId="0" applyFont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0" fontId="11" fillId="5" borderId="0" xfId="0" applyFont="1" applyFill="1" applyBorder="1" applyAlignment="1" applyProtection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0" fillId="0" borderId="5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0" fillId="0" borderId="7" xfId="0" applyBorder="1" applyProtection="1"/>
    <xf numFmtId="0" fontId="17" fillId="2" borderId="2" xfId="0" applyFont="1" applyFill="1" applyBorder="1" applyProtection="1"/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Protection="1"/>
    <xf numFmtId="169" fontId="0" fillId="0" borderId="0" xfId="0" applyNumberFormat="1" applyProtection="1"/>
    <xf numFmtId="164" fontId="4" fillId="0" borderId="0" xfId="1" applyNumberFormat="1" applyFont="1" applyFill="1" applyProtection="1"/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/>
    </xf>
    <xf numFmtId="171" fontId="5" fillId="0" borderId="0" xfId="0" applyNumberFormat="1" applyFont="1" applyFill="1" applyBorder="1" applyAlignment="1" applyProtection="1">
      <alignment horizontal="center"/>
    </xf>
    <xf numFmtId="171" fontId="5" fillId="0" borderId="1" xfId="1" applyNumberFormat="1" applyFont="1" applyFill="1" applyBorder="1" applyAlignment="1" applyProtection="1">
      <alignment horizontal="center"/>
    </xf>
    <xf numFmtId="171" fontId="5" fillId="0" borderId="0" xfId="1" applyNumberFormat="1" applyFont="1" applyFill="1" applyBorder="1" applyAlignment="1" applyProtection="1">
      <alignment horizontal="center"/>
    </xf>
    <xf numFmtId="171" fontId="2" fillId="0" borderId="0" xfId="0" applyNumberFormat="1" applyFont="1" applyFill="1" applyBorder="1" applyAlignment="1" applyProtection="1">
      <alignment horizontal="center" vertical="center"/>
    </xf>
    <xf numFmtId="171" fontId="2" fillId="0" borderId="1" xfId="0" applyNumberFormat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horizontal="center"/>
    </xf>
    <xf numFmtId="164" fontId="5" fillId="0" borderId="7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164" fontId="5" fillId="0" borderId="8" xfId="1" applyNumberFormat="1" applyFont="1" applyFill="1" applyBorder="1" applyAlignment="1" applyProtection="1">
      <alignment horizontal="center"/>
      <protection locked="0"/>
    </xf>
    <xf numFmtId="164" fontId="5" fillId="0" borderId="7" xfId="1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164" fontId="4" fillId="0" borderId="1" xfId="0" applyNumberFormat="1" applyFont="1" applyBorder="1" applyProtection="1"/>
    <xf numFmtId="164" fontId="4" fillId="0" borderId="0" xfId="0" applyNumberFormat="1" applyFont="1" applyAlignment="1" applyProtection="1">
      <alignment horizontal="right"/>
    </xf>
    <xf numFmtId="164" fontId="4" fillId="0" borderId="1" xfId="0" applyNumberFormat="1" applyFont="1" applyFill="1" applyBorder="1" applyProtection="1"/>
    <xf numFmtId="164" fontId="0" fillId="0" borderId="0" xfId="0" applyNumberFormat="1" applyFont="1" applyBorder="1" applyAlignment="1" applyProtection="1">
      <alignment horizontal="right"/>
    </xf>
    <xf numFmtId="164" fontId="4" fillId="0" borderId="0" xfId="1" applyNumberFormat="1" applyFont="1" applyProtection="1"/>
    <xf numFmtId="164" fontId="4" fillId="0" borderId="0" xfId="0" applyNumberFormat="1" applyFont="1" applyBorder="1" applyProtection="1"/>
    <xf numFmtId="164" fontId="4" fillId="0" borderId="0" xfId="0" applyNumberFormat="1" applyFont="1" applyFill="1" applyBorder="1" applyProtection="1"/>
    <xf numFmtId="164" fontId="4" fillId="0" borderId="1" xfId="0" applyNumberFormat="1" applyFont="1" applyBorder="1" applyAlignment="1" applyProtection="1">
      <alignment horizontal="right"/>
    </xf>
    <xf numFmtId="164" fontId="4" fillId="2" borderId="0" xfId="0" applyNumberFormat="1" applyFont="1" applyFill="1" applyProtection="1"/>
    <xf numFmtId="164" fontId="7" fillId="0" borderId="0" xfId="0" applyNumberFormat="1" applyFont="1" applyProtection="1"/>
    <xf numFmtId="164" fontId="5" fillId="0" borderId="1" xfId="1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right"/>
    </xf>
    <xf numFmtId="164" fontId="4" fillId="0" borderId="0" xfId="0" applyNumberFormat="1" applyFont="1" applyAlignment="1" applyProtection="1">
      <alignment horizontal="left"/>
    </xf>
    <xf numFmtId="0" fontId="3" fillId="0" borderId="0" xfId="0" applyFont="1" applyBorder="1" applyAlignment="1" applyProtection="1">
      <alignment vertical="center" textRotation="90"/>
    </xf>
    <xf numFmtId="0" fontId="0" fillId="0" borderId="0" xfId="0" applyAlignment="1" applyProtection="1">
      <alignment horizontal="right" indent="1"/>
    </xf>
    <xf numFmtId="0" fontId="0" fillId="0" borderId="0" xfId="0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165" fontId="8" fillId="3" borderId="0" xfId="1" applyNumberFormat="1" applyFont="1" applyFill="1"/>
    <xf numFmtId="164" fontId="0" fillId="0" borderId="0" xfId="0" applyNumberFormat="1" applyAlignment="1" applyProtection="1"/>
    <xf numFmtId="166" fontId="0" fillId="0" borderId="0" xfId="0" applyNumberFormat="1" applyProtection="1"/>
    <xf numFmtId="0" fontId="18" fillId="7" borderId="12" xfId="0" applyFont="1" applyFill="1" applyBorder="1" applyAlignment="1">
      <alignment horizontal="center" vertical="center" wrapText="1" readingOrder="1"/>
    </xf>
    <xf numFmtId="0" fontId="18" fillId="7" borderId="13" xfId="0" applyFont="1" applyFill="1" applyBorder="1" applyAlignment="1">
      <alignment horizontal="center" vertical="center" wrapText="1" readingOrder="1"/>
    </xf>
    <xf numFmtId="0" fontId="19" fillId="8" borderId="12" xfId="0" applyFont="1" applyFill="1" applyBorder="1" applyAlignment="1">
      <alignment horizontal="center" vertical="center" wrapText="1" readingOrder="1"/>
    </xf>
    <xf numFmtId="0" fontId="19" fillId="8" borderId="13" xfId="0" applyFont="1" applyFill="1" applyBorder="1" applyAlignment="1">
      <alignment horizontal="center" vertical="center" wrapText="1" readingOrder="1"/>
    </xf>
    <xf numFmtId="0" fontId="20" fillId="0" borderId="0" xfId="0" applyFont="1" applyAlignment="1">
      <alignment horizontal="left" vertical="center" readingOrder="1"/>
    </xf>
    <xf numFmtId="0" fontId="21" fillId="0" borderId="5" xfId="0" applyFont="1" applyBorder="1" applyAlignment="1" applyProtection="1">
      <alignment horizontal="right"/>
    </xf>
    <xf numFmtId="172" fontId="23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right"/>
    </xf>
    <xf numFmtId="172" fontId="23" fillId="0" borderId="8" xfId="0" applyNumberFormat="1" applyFont="1" applyFill="1" applyBorder="1" applyAlignment="1" applyProtection="1">
      <alignment horizontal="center" vertical="center"/>
      <protection locked="0"/>
    </xf>
    <xf numFmtId="169" fontId="4" fillId="0" borderId="0" xfId="1" applyNumberFormat="1" applyFont="1" applyProtection="1"/>
    <xf numFmtId="0" fontId="22" fillId="4" borderId="2" xfId="0" applyFont="1" applyFill="1" applyBorder="1" applyAlignment="1" applyProtection="1">
      <alignment horizontal="center" vertical="center"/>
    </xf>
    <xf numFmtId="0" fontId="22" fillId="4" borderId="4" xfId="0" applyFont="1" applyFill="1" applyBorder="1" applyAlignment="1" applyProtection="1">
      <alignment horizontal="center" vertical="center"/>
    </xf>
    <xf numFmtId="0" fontId="22" fillId="4" borderId="5" xfId="0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12" fillId="4" borderId="2" xfId="0" applyFont="1" applyFill="1" applyBorder="1" applyAlignment="1" applyProtection="1">
      <alignment horizontal="center" wrapText="1"/>
    </xf>
    <xf numFmtId="0" fontId="12" fillId="4" borderId="7" xfId="0" applyFont="1" applyFill="1" applyBorder="1" applyAlignment="1" applyProtection="1">
      <alignment horizontal="center" wrapText="1"/>
    </xf>
    <xf numFmtId="0" fontId="16" fillId="6" borderId="0" xfId="0" applyFont="1" applyFill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6" xfId="0" applyFont="1" applyFill="1" applyBorder="1" applyAlignment="1" applyProtection="1">
      <alignment horizontal="center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164" fontId="17" fillId="2" borderId="5" xfId="0" applyNumberFormat="1" applyFont="1" applyFill="1" applyBorder="1" applyAlignment="1" applyProtection="1">
      <alignment horizontal="center" vertical="center"/>
    </xf>
    <xf numFmtId="164" fontId="17" fillId="2" borderId="0" xfId="0" applyNumberFormat="1" applyFont="1" applyFill="1" applyBorder="1" applyAlignment="1" applyProtection="1">
      <alignment horizontal="center" vertical="center"/>
    </xf>
    <xf numFmtId="164" fontId="17" fillId="2" borderId="6" xfId="0" applyNumberFormat="1" applyFont="1" applyFill="1" applyBorder="1" applyAlignment="1" applyProtection="1">
      <alignment horizontal="center" vertical="center"/>
    </xf>
    <xf numFmtId="164" fontId="17" fillId="2" borderId="7" xfId="0" applyNumberFormat="1" applyFont="1" applyFill="1" applyBorder="1" applyAlignment="1" applyProtection="1">
      <alignment horizontal="center" vertical="center"/>
    </xf>
    <xf numFmtId="164" fontId="17" fillId="2" borderId="1" xfId="0" applyNumberFormat="1" applyFont="1" applyFill="1" applyBorder="1" applyAlignment="1" applyProtection="1">
      <alignment horizontal="center" vertical="center"/>
    </xf>
    <xf numFmtId="164" fontId="17" fillId="2" borderId="8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14" fillId="4" borderId="0" xfId="0" applyFont="1" applyFill="1" applyAlignment="1" applyProtection="1">
      <alignment horizontal="center" vertical="center" textRotation="90"/>
    </xf>
    <xf numFmtId="0" fontId="9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Composition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'Key Business Variables'!$L$60</c:f>
              <c:strCache>
                <c:ptCount val="1"/>
                <c:pt idx="0">
                  <c:v>Recurring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'Key Business Variables'!$N$59:$Q$59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'Key Business Variables'!$N$60:$Q$60</c:f>
              <c:numCache>
                <c:formatCode>"$"#,##0</c:formatCode>
                <c:ptCount val="4"/>
                <c:pt idx="0">
                  <c:v>0</c:v>
                </c:pt>
                <c:pt idx="1">
                  <c:v>146250</c:v>
                </c:pt>
                <c:pt idx="2">
                  <c:v>416250</c:v>
                </c:pt>
                <c:pt idx="3">
                  <c:v>686249.99999999988</c:v>
                </c:pt>
              </c:numCache>
            </c:numRef>
          </c:val>
        </c:ser>
        <c:ser>
          <c:idx val="1"/>
          <c:order val="1"/>
          <c:tx>
            <c:strRef>
              <c:f>'Key Business Variables'!$L$61</c:f>
              <c:strCache>
                <c:ptCount val="1"/>
                <c:pt idx="0">
                  <c:v>Non-Recurring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'Key Business Variables'!$N$59:$Q$59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'Key Business Variables'!$N$61:$Q$61</c:f>
              <c:numCache>
                <c:formatCode>"$"#,##0</c:formatCode>
                <c:ptCount val="4"/>
                <c:pt idx="0">
                  <c:v>6000000</c:v>
                </c:pt>
                <c:pt idx="1">
                  <c:v>6243750</c:v>
                </c:pt>
                <c:pt idx="2">
                  <c:v>6693750</c:v>
                </c:pt>
                <c:pt idx="3">
                  <c:v>7143750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2842528"/>
        <c:axId val="-2142857760"/>
      </c:barChart>
      <c:catAx>
        <c:axId val="-214284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857760"/>
        <c:crosses val="autoZero"/>
        <c:auto val="1"/>
        <c:lblAlgn val="ctr"/>
        <c:lblOffset val="100"/>
        <c:noMultiLvlLbl val="0"/>
      </c:catAx>
      <c:valAx>
        <c:axId val="-21428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84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Anticipated Valuation Impact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 Business Variables'!$L$66</c:f>
              <c:strCache>
                <c:ptCount val="1"/>
                <c:pt idx="0">
                  <c:v>Valuation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'Key Business Variables'!$N$65:$Q$65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'Key Business Variables'!$N$66:$Q$66</c:f>
              <c:numCache>
                <c:formatCode>"$"#,##0</c:formatCode>
                <c:ptCount val="4"/>
                <c:pt idx="0">
                  <c:v>3937499.9999999991</c:v>
                </c:pt>
                <c:pt idx="1">
                  <c:v>4286306.2499999991</c:v>
                </c:pt>
                <c:pt idx="2">
                  <c:v>4930256.2499999991</c:v>
                </c:pt>
                <c:pt idx="3">
                  <c:v>5574206.2499999991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2850688"/>
        <c:axId val="-2142853408"/>
      </c:barChart>
      <c:catAx>
        <c:axId val="-2142850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853408"/>
        <c:crossesAt val="0"/>
        <c:auto val="1"/>
        <c:lblAlgn val="ctr"/>
        <c:lblOffset val="100"/>
        <c:noMultiLvlLbl val="0"/>
      </c:catAx>
      <c:valAx>
        <c:axId val="-214285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8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>
                    <a:lumMod val="50000"/>
                  </a:schemeClr>
                </a:solidFill>
              </a:defRPr>
            </a:pPr>
            <a:r>
              <a:rPr lang="en-US"/>
              <a:t>Monthly Incremental Cumulative Cash Flow</a:t>
            </a:r>
          </a:p>
        </c:rich>
      </c:tx>
      <c:layout>
        <c:manualLayout>
          <c:xMode val="edge"/>
          <c:yMode val="edge"/>
          <c:x val="0.31345695716877175"/>
          <c:y val="0.213425129087779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98466325320235E-2"/>
          <c:y val="2.5304888171029903E-2"/>
          <c:w val="0.93619047051366877"/>
          <c:h val="0.85529953334146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'Cash Flow'!$B$52</c:f>
              <c:strCache>
                <c:ptCount val="1"/>
                <c:pt idx="0">
                  <c:v>Monthly Cumulative Cash Flow</c:v>
                </c:pt>
              </c:strCache>
            </c:strRef>
          </c:tx>
          <c:spPr>
            <a:ln w="25400">
              <a:noFill/>
            </a:ln>
          </c:spPr>
          <c:invertIfNegative val="0"/>
          <c:val>
            <c:numRef>
              <c:f>'Cash Flow'!$C$52:$AX$52</c:f>
              <c:numCache>
                <c:formatCode>"$"#,##0</c:formatCode>
                <c:ptCount val="48"/>
                <c:pt idx="0">
                  <c:v>39583.333333333314</c:v>
                </c:pt>
                <c:pt idx="1">
                  <c:v>79166.666666666628</c:v>
                </c:pt>
                <c:pt idx="2">
                  <c:v>118749.99999999994</c:v>
                </c:pt>
                <c:pt idx="3">
                  <c:v>158333.33333333326</c:v>
                </c:pt>
                <c:pt idx="4">
                  <c:v>197916.66666666657</c:v>
                </c:pt>
                <c:pt idx="5">
                  <c:v>237499.99999999988</c:v>
                </c:pt>
                <c:pt idx="6">
                  <c:v>277083.3333333332</c:v>
                </c:pt>
                <c:pt idx="7">
                  <c:v>316666.66666666651</c:v>
                </c:pt>
                <c:pt idx="8">
                  <c:v>356249.99999999983</c:v>
                </c:pt>
                <c:pt idx="9">
                  <c:v>395833.33333333314</c:v>
                </c:pt>
                <c:pt idx="10">
                  <c:v>435416.66666666645</c:v>
                </c:pt>
                <c:pt idx="11">
                  <c:v>474999.99999999977</c:v>
                </c:pt>
                <c:pt idx="12">
                  <c:v>541535.41666666651</c:v>
                </c:pt>
                <c:pt idx="13">
                  <c:v>609814.58333333326</c:v>
                </c:pt>
                <c:pt idx="14">
                  <c:v>679837.5</c:v>
                </c:pt>
                <c:pt idx="15">
                  <c:v>751604.16666666674</c:v>
                </c:pt>
                <c:pt idx="16">
                  <c:v>825114.58333333349</c:v>
                </c:pt>
                <c:pt idx="17">
                  <c:v>900368.75000000023</c:v>
                </c:pt>
                <c:pt idx="18">
                  <c:v>977366.66666666698</c:v>
                </c:pt>
                <c:pt idx="19">
                  <c:v>1056108.3333333337</c:v>
                </c:pt>
                <c:pt idx="20">
                  <c:v>1136593.7500000005</c:v>
                </c:pt>
                <c:pt idx="21">
                  <c:v>1218822.9166666672</c:v>
                </c:pt>
                <c:pt idx="22">
                  <c:v>1302795.833333334</c:v>
                </c:pt>
                <c:pt idx="23">
                  <c:v>1388512.5000000007</c:v>
                </c:pt>
                <c:pt idx="24">
                  <c:v>1494764.583333334</c:v>
                </c:pt>
                <c:pt idx="25">
                  <c:v>1602760.4166666672</c:v>
                </c:pt>
                <c:pt idx="26">
                  <c:v>1712500.0000000005</c:v>
                </c:pt>
                <c:pt idx="27">
                  <c:v>1823983.3333333337</c:v>
                </c:pt>
                <c:pt idx="28">
                  <c:v>1937210.416666667</c:v>
                </c:pt>
                <c:pt idx="29">
                  <c:v>2052181.2500000002</c:v>
                </c:pt>
                <c:pt idx="30">
                  <c:v>2168895.8333333335</c:v>
                </c:pt>
                <c:pt idx="31">
                  <c:v>2287354.166666667</c:v>
                </c:pt>
                <c:pt idx="32">
                  <c:v>2407556.2500000005</c:v>
                </c:pt>
                <c:pt idx="33">
                  <c:v>2529502.083333334</c:v>
                </c:pt>
                <c:pt idx="34">
                  <c:v>2653191.6666666674</c:v>
                </c:pt>
                <c:pt idx="35">
                  <c:v>2778625.0000000009</c:v>
                </c:pt>
                <c:pt idx="36">
                  <c:v>2926427.0833333344</c:v>
                </c:pt>
                <c:pt idx="37">
                  <c:v>3075972.9166666679</c:v>
                </c:pt>
                <c:pt idx="38">
                  <c:v>3227262.5000000014</c:v>
                </c:pt>
                <c:pt idx="39">
                  <c:v>3380295.8333333349</c:v>
                </c:pt>
                <c:pt idx="40">
                  <c:v>3535072.9166666684</c:v>
                </c:pt>
                <c:pt idx="41">
                  <c:v>3691593.7500000019</c:v>
                </c:pt>
                <c:pt idx="42">
                  <c:v>3849858.3333333349</c:v>
                </c:pt>
                <c:pt idx="43">
                  <c:v>4009866.6666666679</c:v>
                </c:pt>
                <c:pt idx="44">
                  <c:v>4171618.7500000009</c:v>
                </c:pt>
                <c:pt idx="45">
                  <c:v>4335114.583333334</c:v>
                </c:pt>
                <c:pt idx="46">
                  <c:v>4500354.166666667</c:v>
                </c:pt>
                <c:pt idx="47">
                  <c:v>4667337.5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2850144"/>
        <c:axId val="-2142852864"/>
      </c:barChart>
      <c:catAx>
        <c:axId val="-214285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7068318958237715"/>
              <c:y val="0.93762460415339643"/>
            </c:manualLayout>
          </c:layout>
          <c:overlay val="0"/>
        </c:title>
        <c:majorTickMark val="out"/>
        <c:minorTickMark val="none"/>
        <c:tickLblPos val="nextTo"/>
        <c:crossAx val="-2142852864"/>
        <c:crosses val="autoZero"/>
        <c:auto val="1"/>
        <c:lblAlgn val="ctr"/>
        <c:lblOffset val="100"/>
        <c:noMultiLvlLbl val="0"/>
      </c:catAx>
      <c:valAx>
        <c:axId val="-2142852864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crossAx val="-214285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515908212272631E-2"/>
          <c:y val="7.508090614886731E-2"/>
          <c:w val="0.86397784535676325"/>
          <c:h val="0.8108695053894960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Resourcing!$B$36</c:f>
              <c:strCache>
                <c:ptCount val="1"/>
                <c:pt idx="0">
                  <c:v>Traditional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Resourcing!$C$35:$F$35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Resourcing!$C$36:$F$36</c:f>
              <c:numCache>
                <c:formatCode>0.0</c:formatCode>
                <c:ptCount val="4"/>
                <c:pt idx="0">
                  <c:v>26.052631578947373</c:v>
                </c:pt>
                <c:pt idx="1">
                  <c:v>27.463815789473689</c:v>
                </c:pt>
                <c:pt idx="2">
                  <c:v>30.069078947368425</c:v>
                </c:pt>
                <c:pt idx="3">
                  <c:v>32.674342105263158</c:v>
                </c:pt>
              </c:numCache>
            </c:numRef>
          </c:val>
        </c:ser>
        <c:ser>
          <c:idx val="1"/>
          <c:order val="1"/>
          <c:tx>
            <c:strRef>
              <c:f>Resourcing!$B$37</c:f>
              <c:strCache>
                <c:ptCount val="1"/>
                <c:pt idx="0">
                  <c:v>Cloud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668123527107884E-2"/>
                  <c:y val="-1.5533980582524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4847907275599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484790727559997E-2"/>
                  <c:y val="-1.081081081081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622537025054635E-2"/>
                  <c:y val="-2.7027027027027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760283322549069E-2"/>
                  <c:y val="-2.7027027027027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Resourcing!$C$35:$F$35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Resourcing!$C$37:$F$37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42849600"/>
        <c:axId val="-2142857216"/>
        <c:axId val="0"/>
      </c:bar3DChart>
      <c:catAx>
        <c:axId val="-2142849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2.4755741677577409E-2"/>
              <c:y val="0.444952934281273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2857216"/>
        <c:crosses val="autoZero"/>
        <c:auto val="1"/>
        <c:lblAlgn val="ctr"/>
        <c:lblOffset val="100"/>
        <c:noMultiLvlLbl val="0"/>
      </c:catAx>
      <c:valAx>
        <c:axId val="-21428572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Services Delivery</a:t>
                </a:r>
                <a:r>
                  <a:rPr lang="en-US" baseline="0"/>
                  <a:t> </a:t>
                </a:r>
                <a:r>
                  <a:rPr lang="en-US"/>
                  <a:t>FTE's Required</a:t>
                </a:r>
              </a:p>
            </c:rich>
          </c:tx>
          <c:layout>
            <c:manualLayout>
              <c:xMode val="edge"/>
              <c:yMode val="edge"/>
              <c:x val="0.46093361725399901"/>
              <c:y val="0.9459617256580791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-2142849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Subscribers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Subscribers!$B$54</c:f>
              <c:strCache>
                <c:ptCount val="1"/>
                <c:pt idx="0">
                  <c:v>Dynamics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Subscribers!$C$53:$F$53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Subscribers!$C$54:$F$54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Subscribers!$B$55</c:f>
              <c:strCache>
                <c:ptCount val="1"/>
                <c:pt idx="0">
                  <c:v>Own 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Subscribers!$C$53:$F$53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Subscribers!$C$55:$F$55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2856672"/>
        <c:axId val="-214285612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Subscribers!#REF!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Subscribers!$C$53:$F$53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Subscribers!#REF!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Subscribers!#REF!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Subscribers!$C$53:$F$53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Subscribers!#REF!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2142856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856128"/>
        <c:crosses val="autoZero"/>
        <c:auto val="1"/>
        <c:lblAlgn val="ctr"/>
        <c:lblOffset val="100"/>
        <c:noMultiLvlLbl val="0"/>
      </c:catAx>
      <c:valAx>
        <c:axId val="-21428561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214285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136161531429459"/>
          <c:y val="0.93982334172597715"/>
          <c:w val="0.21715161062782445"/>
          <c:h val="4.172582143683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16" fmlaLink="$C$32" horiz="1" max="100" page="10" val="0"/>
</file>

<file path=xl/ctrlProps/ctrlProp2.xml><?xml version="1.0" encoding="utf-8"?>
<formControlPr xmlns="http://schemas.microsoft.com/office/spreadsheetml/2009/9/main" objectType="Scroll" dx="16" fmlaLink="$C$33" horiz="1" max="100" page="1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9</xdr:col>
          <xdr:colOff>0</xdr:colOff>
          <xdr:row>19</xdr:row>
          <xdr:rowOff>123825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>
    <xdr:from>
      <xdr:col>10</xdr:col>
      <xdr:colOff>95250</xdr:colOff>
      <xdr:row>0</xdr:row>
      <xdr:rowOff>104777</xdr:rowOff>
    </xdr:from>
    <xdr:to>
      <xdr:col>14</xdr:col>
      <xdr:colOff>71437</xdr:colOff>
      <xdr:row>24</xdr:row>
      <xdr:rowOff>83343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14</xdr:col>
      <xdr:colOff>142875</xdr:colOff>
      <xdr:row>0</xdr:row>
      <xdr:rowOff>100808</xdr:rowOff>
    </xdr:from>
    <xdr:to>
      <xdr:col>17</xdr:col>
      <xdr:colOff>43657</xdr:colOff>
      <xdr:row>24</xdr:row>
      <xdr:rowOff>83343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9525</xdr:rowOff>
        </xdr:from>
        <xdr:to>
          <xdr:col>9</xdr:col>
          <xdr:colOff>0</xdr:colOff>
          <xdr:row>23</xdr:row>
          <xdr:rowOff>104775</xdr:rowOff>
        </xdr:to>
        <xdr:sp macro="" textlink="">
          <xdr:nvSpPr>
            <xdr:cNvPr id="1050" name="Scroll Bar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377372</xdr:colOff>
      <xdr:row>1</xdr:row>
      <xdr:rowOff>163739</xdr:rowOff>
    </xdr:from>
    <xdr:to>
      <xdr:col>24</xdr:col>
      <xdr:colOff>158297</xdr:colOff>
      <xdr:row>30</xdr:row>
      <xdr:rowOff>173264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76200</xdr:rowOff>
    </xdr:from>
    <xdr:to>
      <xdr:col>15</xdr:col>
      <xdr:colOff>457201</xdr:colOff>
      <xdr:row>28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1338035</xdr:colOff>
      <xdr:row>2</xdr:row>
      <xdr:rowOff>88899</xdr:rowOff>
    </xdr:from>
    <xdr:to>
      <xdr:col>22</xdr:col>
      <xdr:colOff>190500</xdr:colOff>
      <xdr:row>30</xdr:row>
      <xdr:rowOff>145143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showGridLines="0" workbookViewId="0">
      <selection activeCell="C15" sqref="C15"/>
    </sheetView>
  </sheetViews>
  <sheetFormatPr defaultColWidth="8.7109375" defaultRowHeight="15" x14ac:dyDescent="0.25"/>
  <cols>
    <col min="1" max="1" width="8.7109375" style="72"/>
    <col min="2" max="2" width="52.28515625" style="72" customWidth="1"/>
    <col min="3" max="3" width="60.7109375" style="72" customWidth="1"/>
    <col min="4" max="4" width="58.42578125" style="72" customWidth="1"/>
    <col min="5" max="16384" width="8.7109375" style="72"/>
  </cols>
  <sheetData>
    <row r="1" spans="2:4" ht="74.45" customHeight="1" thickBot="1" x14ac:dyDescent="0.3"/>
    <row r="2" spans="2:4" ht="78.75" thickBot="1" x14ac:dyDescent="0.3">
      <c r="B2" s="144" t="s">
        <v>122</v>
      </c>
      <c r="C2" s="144" t="s">
        <v>123</v>
      </c>
      <c r="D2" s="145" t="s">
        <v>124</v>
      </c>
    </row>
    <row r="3" spans="2:4" ht="31.5" thickBot="1" x14ac:dyDescent="0.3">
      <c r="B3" s="146" t="s">
        <v>107</v>
      </c>
      <c r="C3" s="146" t="s">
        <v>125</v>
      </c>
      <c r="D3" s="147" t="s">
        <v>126</v>
      </c>
    </row>
    <row r="4" spans="2:4" ht="31.5" thickBot="1" x14ac:dyDescent="0.3">
      <c r="B4" s="146" t="s">
        <v>127</v>
      </c>
      <c r="C4" s="146" t="s">
        <v>128</v>
      </c>
      <c r="D4" s="147" t="s">
        <v>129</v>
      </c>
    </row>
    <row r="6" spans="2:4" ht="17.25" x14ac:dyDescent="0.25">
      <c r="B6" s="148" t="s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R94"/>
  <sheetViews>
    <sheetView showGridLines="0" tabSelected="1" zoomScale="80" zoomScaleNormal="80" workbookViewId="0">
      <selection activeCell="J16" sqref="J16"/>
    </sheetView>
  </sheetViews>
  <sheetFormatPr defaultColWidth="9.140625" defaultRowHeight="15" x14ac:dyDescent="0.25"/>
  <cols>
    <col min="1" max="1" width="3.140625" style="12" customWidth="1"/>
    <col min="2" max="2" width="36.7109375" style="12" customWidth="1"/>
    <col min="3" max="3" width="13.7109375" style="12" customWidth="1"/>
    <col min="4" max="4" width="3.28515625" style="12" customWidth="1"/>
    <col min="5" max="5" width="28.5703125" style="12" customWidth="1"/>
    <col min="6" max="6" width="13.7109375" style="12" customWidth="1"/>
    <col min="7" max="7" width="1.7109375" style="12" customWidth="1"/>
    <col min="8" max="8" width="12.7109375" style="12" customWidth="1"/>
    <col min="9" max="10" width="13.7109375" style="12" customWidth="1"/>
    <col min="11" max="11" width="1.7109375" style="12" customWidth="1"/>
    <col min="12" max="12" width="12.140625" style="12" customWidth="1"/>
    <col min="13" max="17" width="15.7109375" style="12" customWidth="1"/>
    <col min="18" max="18" width="12.140625" style="12" customWidth="1"/>
    <col min="19" max="16384" width="9.140625" style="12"/>
  </cols>
  <sheetData>
    <row r="1" spans="2:13" ht="9" customHeight="1" x14ac:dyDescent="0.25"/>
    <row r="2" spans="2:13" ht="15" customHeight="1" x14ac:dyDescent="0.25">
      <c r="B2" s="166" t="s">
        <v>131</v>
      </c>
      <c r="C2" s="166"/>
      <c r="E2" s="164" t="s">
        <v>134</v>
      </c>
      <c r="F2" s="86" t="s">
        <v>16</v>
      </c>
      <c r="G2" s="181" t="s">
        <v>9</v>
      </c>
      <c r="H2" s="181"/>
      <c r="I2" s="87" t="s">
        <v>10</v>
      </c>
      <c r="J2" s="88" t="s">
        <v>11</v>
      </c>
      <c r="K2" s="32"/>
    </row>
    <row r="3" spans="2:13" ht="15.75" customHeight="1" x14ac:dyDescent="0.25">
      <c r="B3" s="166"/>
      <c r="C3" s="166"/>
      <c r="E3" s="165"/>
      <c r="F3" s="89">
        <v>5</v>
      </c>
      <c r="G3" s="183">
        <v>5</v>
      </c>
      <c r="H3" s="183"/>
      <c r="I3" s="82">
        <v>5</v>
      </c>
      <c r="J3" s="83">
        <v>5</v>
      </c>
      <c r="K3" s="103"/>
    </row>
    <row r="4" spans="2:13" x14ac:dyDescent="0.25">
      <c r="B4" s="166"/>
      <c r="C4" s="166"/>
      <c r="E4" s="161" t="s">
        <v>135</v>
      </c>
      <c r="F4" s="90" t="s">
        <v>16</v>
      </c>
      <c r="G4" s="182" t="s">
        <v>9</v>
      </c>
      <c r="H4" s="182"/>
      <c r="I4" s="84" t="s">
        <v>10</v>
      </c>
      <c r="J4" s="85" t="s">
        <v>11</v>
      </c>
      <c r="K4" s="78"/>
    </row>
    <row r="5" spans="2:13" ht="15" customHeight="1" x14ac:dyDescent="0.25">
      <c r="D5" s="104"/>
      <c r="E5" s="162"/>
      <c r="F5" s="111">
        <f>N28*0.3</f>
        <v>1800000</v>
      </c>
      <c r="G5" s="184">
        <f>O28*0.25</f>
        <v>1597500</v>
      </c>
      <c r="H5" s="184"/>
      <c r="I5" s="112">
        <f>P28*0.2</f>
        <v>1422000</v>
      </c>
      <c r="J5" s="113">
        <f>Q28*0.15</f>
        <v>1174500</v>
      </c>
      <c r="K5" s="105"/>
    </row>
    <row r="6" spans="2:13" ht="15.75" customHeight="1" x14ac:dyDescent="0.25">
      <c r="B6" s="164" t="s">
        <v>89</v>
      </c>
      <c r="C6" s="176">
        <v>75</v>
      </c>
      <c r="D6" s="104"/>
      <c r="E6" s="159" t="s">
        <v>136</v>
      </c>
      <c r="F6" s="90" t="s">
        <v>16</v>
      </c>
      <c r="G6" s="182" t="s">
        <v>9</v>
      </c>
      <c r="H6" s="182"/>
      <c r="I6" s="84" t="s">
        <v>10</v>
      </c>
      <c r="J6" s="85" t="s">
        <v>11</v>
      </c>
      <c r="K6" s="78"/>
    </row>
    <row r="7" spans="2:13" x14ac:dyDescent="0.25">
      <c r="B7" s="165"/>
      <c r="C7" s="177"/>
      <c r="D7" s="104"/>
      <c r="E7" s="160"/>
      <c r="F7" s="115">
        <v>350000</v>
      </c>
      <c r="G7" s="185">
        <v>250000</v>
      </c>
      <c r="H7" s="185"/>
      <c r="I7" s="134">
        <v>200000</v>
      </c>
      <c r="J7" s="114">
        <v>200000</v>
      </c>
      <c r="K7" s="107"/>
    </row>
    <row r="8" spans="2:13" x14ac:dyDescent="0.25">
      <c r="B8" s="80"/>
      <c r="C8" s="104"/>
      <c r="D8" s="104"/>
      <c r="E8" s="56"/>
      <c r="F8" s="106"/>
      <c r="G8" s="107"/>
      <c r="H8" s="107"/>
      <c r="I8" s="107"/>
      <c r="J8" s="107"/>
      <c r="K8" s="107"/>
    </row>
    <row r="9" spans="2:13" x14ac:dyDescent="0.25">
      <c r="B9" s="167" t="s">
        <v>90</v>
      </c>
      <c r="C9" s="168"/>
      <c r="D9" s="168"/>
      <c r="E9" s="168"/>
      <c r="F9" s="169"/>
      <c r="G9" s="56"/>
    </row>
    <row r="10" spans="2:13" x14ac:dyDescent="0.25">
      <c r="B10" s="170"/>
      <c r="C10" s="171"/>
      <c r="D10" s="171"/>
      <c r="E10" s="171"/>
      <c r="F10" s="172"/>
      <c r="G10" s="56"/>
    </row>
    <row r="11" spans="2:13" ht="15.75" x14ac:dyDescent="0.25">
      <c r="B11" s="173" t="s">
        <v>43</v>
      </c>
      <c r="C11" s="174"/>
      <c r="D11" s="81"/>
      <c r="E11" s="174" t="s">
        <v>42</v>
      </c>
      <c r="F11" s="175"/>
      <c r="G11" s="96"/>
      <c r="H11" s="98"/>
      <c r="I11" s="99" t="s">
        <v>106</v>
      </c>
      <c r="J11" s="100"/>
    </row>
    <row r="12" spans="2:13" ht="15.75" customHeight="1" x14ac:dyDescent="0.25">
      <c r="B12" s="15" t="s">
        <v>87</v>
      </c>
      <c r="C12" s="116">
        <f>C14*C6*3</f>
        <v>900000</v>
      </c>
      <c r="D12" s="108"/>
      <c r="E12" s="41" t="s">
        <v>87</v>
      </c>
      <c r="F12" s="118">
        <f>C12*0.15</f>
        <v>135000</v>
      </c>
      <c r="G12" s="108"/>
      <c r="H12" s="188">
        <f>Q66</f>
        <v>5574206.2499999991</v>
      </c>
      <c r="I12" s="189"/>
      <c r="J12" s="190"/>
      <c r="M12" s="77"/>
    </row>
    <row r="13" spans="2:13" ht="15.75" customHeight="1" x14ac:dyDescent="0.25">
      <c r="B13" s="15" t="s">
        <v>88</v>
      </c>
      <c r="C13" s="116">
        <f>C12*0.1</f>
        <v>90000</v>
      </c>
      <c r="D13" s="108"/>
      <c r="E13" s="41" t="s">
        <v>88</v>
      </c>
      <c r="F13" s="118">
        <f>F12*0.1</f>
        <v>13500</v>
      </c>
      <c r="G13" s="108"/>
      <c r="H13" s="191"/>
      <c r="I13" s="192"/>
      <c r="J13" s="193"/>
      <c r="M13" s="77"/>
    </row>
    <row r="14" spans="2:13" x14ac:dyDescent="0.25">
      <c r="B14" s="15" t="s">
        <v>112</v>
      </c>
      <c r="C14" s="116">
        <v>4000</v>
      </c>
      <c r="D14" s="108"/>
      <c r="E14" s="42" t="s">
        <v>112</v>
      </c>
      <c r="F14" s="118">
        <v>184.3</v>
      </c>
      <c r="G14" s="108"/>
      <c r="M14" s="77"/>
    </row>
    <row r="15" spans="2:13" x14ac:dyDescent="0.25">
      <c r="B15" s="16" t="s">
        <v>71</v>
      </c>
      <c r="C15" s="117">
        <v>1725</v>
      </c>
      <c r="D15" s="109"/>
      <c r="E15" s="79" t="s">
        <v>71</v>
      </c>
      <c r="F15" s="119">
        <v>100</v>
      </c>
      <c r="G15" s="108"/>
      <c r="M15" s="77"/>
    </row>
    <row r="16" spans="2:13" x14ac:dyDescent="0.25">
      <c r="M16" s="77"/>
    </row>
    <row r="17" spans="2:17" x14ac:dyDescent="0.25">
      <c r="B17" s="167" t="s">
        <v>91</v>
      </c>
      <c r="C17" s="169"/>
      <c r="E17" s="171" t="s">
        <v>137</v>
      </c>
      <c r="F17" s="171"/>
      <c r="G17" s="171"/>
      <c r="H17" s="171"/>
      <c r="I17" s="171"/>
      <c r="M17" s="53"/>
    </row>
    <row r="18" spans="2:17" x14ac:dyDescent="0.25">
      <c r="B18" s="170"/>
      <c r="C18" s="172"/>
      <c r="M18" s="53"/>
    </row>
    <row r="19" spans="2:17" x14ac:dyDescent="0.25">
      <c r="B19" s="94" t="s">
        <v>92</v>
      </c>
      <c r="C19" s="67">
        <v>0.45</v>
      </c>
      <c r="J19" s="57">
        <f>C32/100</f>
        <v>0</v>
      </c>
      <c r="K19" s="57"/>
      <c r="M19" s="45"/>
    </row>
    <row r="20" spans="2:17" x14ac:dyDescent="0.25">
      <c r="B20" s="94" t="s">
        <v>117</v>
      </c>
      <c r="C20" s="67">
        <v>0.4</v>
      </c>
      <c r="M20" s="45"/>
    </row>
    <row r="21" spans="2:17" x14ac:dyDescent="0.25">
      <c r="B21" s="94" t="s">
        <v>110</v>
      </c>
      <c r="C21" s="67">
        <v>0.18</v>
      </c>
      <c r="E21" s="171" t="s">
        <v>138</v>
      </c>
      <c r="F21" s="171"/>
      <c r="G21" s="171"/>
      <c r="H21" s="171"/>
      <c r="I21" s="171"/>
      <c r="M21" s="53"/>
    </row>
    <row r="22" spans="2:17" x14ac:dyDescent="0.25">
      <c r="B22" s="94" t="s">
        <v>93</v>
      </c>
      <c r="C22" s="67">
        <v>0.65</v>
      </c>
      <c r="F22" s="58"/>
      <c r="G22" s="58"/>
      <c r="M22" s="53"/>
    </row>
    <row r="23" spans="2:17" x14ac:dyDescent="0.25">
      <c r="B23" s="94" t="s">
        <v>111</v>
      </c>
      <c r="C23" s="118">
        <v>133</v>
      </c>
      <c r="J23" s="57">
        <f>C33/100</f>
        <v>0</v>
      </c>
      <c r="K23" s="57"/>
      <c r="M23" s="45"/>
    </row>
    <row r="24" spans="2:17" x14ac:dyDescent="0.25">
      <c r="B24" s="95" t="s">
        <v>96</v>
      </c>
      <c r="C24" s="119">
        <v>0</v>
      </c>
      <c r="E24" s="163" t="s">
        <v>43</v>
      </c>
      <c r="I24" s="186" t="s">
        <v>42</v>
      </c>
      <c r="J24" s="14"/>
      <c r="K24" s="14"/>
      <c r="M24" s="45"/>
    </row>
    <row r="25" spans="2:17" ht="15" customHeight="1" x14ac:dyDescent="0.25">
      <c r="E25" s="163"/>
      <c r="I25" s="187"/>
    </row>
    <row r="26" spans="2:17" ht="15" customHeight="1" x14ac:dyDescent="0.25">
      <c r="B26" s="154" t="s">
        <v>133</v>
      </c>
      <c r="C26" s="155"/>
      <c r="F26" s="167" t="s">
        <v>139</v>
      </c>
      <c r="G26" s="168"/>
      <c r="H26" s="168"/>
      <c r="I26" s="168"/>
      <c r="K26" s="178" t="s">
        <v>105</v>
      </c>
      <c r="L26" s="179"/>
      <c r="M26" s="179"/>
      <c r="N26" s="179"/>
      <c r="O26" s="179"/>
      <c r="P26" s="179"/>
      <c r="Q26" s="180"/>
    </row>
    <row r="27" spans="2:17" ht="14.45" customHeight="1" x14ac:dyDescent="0.25">
      <c r="B27" s="156"/>
      <c r="C27" s="157"/>
      <c r="F27" s="170"/>
      <c r="G27" s="171"/>
      <c r="H27" s="171"/>
      <c r="I27" s="171"/>
      <c r="K27" s="13"/>
      <c r="L27" s="14"/>
      <c r="M27" s="137"/>
      <c r="N27" s="32" t="s">
        <v>16</v>
      </c>
      <c r="O27" s="32" t="s">
        <v>9</v>
      </c>
      <c r="P27" s="32" t="s">
        <v>10</v>
      </c>
      <c r="Q27" s="35" t="s">
        <v>11</v>
      </c>
    </row>
    <row r="28" spans="2:17" x14ac:dyDescent="0.25">
      <c r="B28" s="149" t="s">
        <v>30</v>
      </c>
      <c r="C28" s="150">
        <v>95000</v>
      </c>
      <c r="F28" s="13"/>
      <c r="G28" s="14"/>
      <c r="H28" s="42" t="s">
        <v>77</v>
      </c>
      <c r="I28" s="66">
        <v>7</v>
      </c>
      <c r="K28" s="13"/>
      <c r="L28" s="14"/>
      <c r="M28" s="44" t="s">
        <v>21</v>
      </c>
      <c r="N28" s="120">
        <f>'P&amp;L Detail'!G43</f>
        <v>6000000</v>
      </c>
      <c r="O28" s="120">
        <f>'P&amp;L Detail'!I43</f>
        <v>6390000</v>
      </c>
      <c r="P28" s="120">
        <f>'P&amp;L Detail'!K43</f>
        <v>7110000</v>
      </c>
      <c r="Q28" s="121">
        <f>'P&amp;L Detail'!M43</f>
        <v>7830000</v>
      </c>
    </row>
    <row r="29" spans="2:17" ht="15" customHeight="1" x14ac:dyDescent="0.25">
      <c r="B29" s="151" t="s">
        <v>27</v>
      </c>
      <c r="C29" s="152">
        <v>90000</v>
      </c>
      <c r="D29" s="57"/>
      <c r="F29" s="97"/>
      <c r="G29" s="64"/>
      <c r="H29" s="75" t="s">
        <v>76</v>
      </c>
      <c r="I29" s="83">
        <v>1.5</v>
      </c>
      <c r="K29" s="97"/>
      <c r="L29" s="64"/>
      <c r="M29" s="93" t="s">
        <v>100</v>
      </c>
      <c r="N29" s="122">
        <f>'P&amp;L Detail'!G46</f>
        <v>475000</v>
      </c>
      <c r="O29" s="122">
        <f>'P&amp;L Detail'!I46</f>
        <v>913512.5</v>
      </c>
      <c r="P29" s="122">
        <f>'P&amp;L Detail'!K46</f>
        <v>1390112.5</v>
      </c>
      <c r="Q29" s="123">
        <f>'P&amp;L Detail'!M46</f>
        <v>1888712.5</v>
      </c>
    </row>
    <row r="30" spans="2:17" ht="15" customHeight="1" x14ac:dyDescent="0.25"/>
    <row r="31" spans="2:17" hidden="1" x14ac:dyDescent="0.25">
      <c r="B31" s="158" t="s">
        <v>63</v>
      </c>
      <c r="C31" s="158"/>
      <c r="D31" s="78"/>
    </row>
    <row r="32" spans="2:17" hidden="1" x14ac:dyDescent="0.25">
      <c r="B32" s="63" t="s">
        <v>86</v>
      </c>
      <c r="C32" s="69">
        <v>0</v>
      </c>
      <c r="D32" s="63"/>
    </row>
    <row r="33" spans="2:7" hidden="1" x14ac:dyDescent="0.25">
      <c r="B33" s="63" t="s">
        <v>41</v>
      </c>
      <c r="C33" s="69">
        <v>0</v>
      </c>
      <c r="D33" s="63"/>
    </row>
    <row r="34" spans="2:7" hidden="1" x14ac:dyDescent="0.25">
      <c r="B34" s="63"/>
      <c r="C34" s="63"/>
      <c r="D34" s="63"/>
    </row>
    <row r="35" spans="2:7" hidden="1" x14ac:dyDescent="0.25">
      <c r="B35" s="63"/>
      <c r="C35" s="63"/>
      <c r="D35" s="63"/>
      <c r="E35" s="55" t="s">
        <v>64</v>
      </c>
      <c r="F35" s="43">
        <v>0</v>
      </c>
      <c r="G35" s="110"/>
    </row>
    <row r="36" spans="2:7" x14ac:dyDescent="0.25">
      <c r="B36" s="63"/>
      <c r="C36" s="63"/>
      <c r="D36" s="63"/>
    </row>
    <row r="37" spans="2:7" x14ac:dyDescent="0.25">
      <c r="B37" s="63"/>
      <c r="C37" s="63"/>
      <c r="D37" s="63"/>
    </row>
    <row r="38" spans="2:7" x14ac:dyDescent="0.25">
      <c r="B38" s="63"/>
      <c r="C38" s="63"/>
      <c r="D38" s="63"/>
    </row>
    <row r="39" spans="2:7" x14ac:dyDescent="0.25">
      <c r="B39" s="63"/>
      <c r="C39" s="63"/>
      <c r="D39" s="63"/>
    </row>
    <row r="40" spans="2:7" x14ac:dyDescent="0.25">
      <c r="B40" s="63"/>
      <c r="C40" s="63"/>
      <c r="D40" s="63"/>
    </row>
    <row r="41" spans="2:7" x14ac:dyDescent="0.25">
      <c r="B41" s="63"/>
      <c r="C41" s="63"/>
      <c r="D41" s="63"/>
    </row>
    <row r="42" spans="2:7" x14ac:dyDescent="0.25">
      <c r="B42" s="63"/>
      <c r="C42" s="63"/>
      <c r="D42" s="63"/>
    </row>
    <row r="43" spans="2:7" x14ac:dyDescent="0.25">
      <c r="B43" s="63"/>
      <c r="C43" s="63"/>
      <c r="D43" s="63"/>
    </row>
    <row r="44" spans="2:7" x14ac:dyDescent="0.25">
      <c r="B44" s="63"/>
      <c r="C44" s="63"/>
      <c r="D44" s="63"/>
    </row>
    <row r="45" spans="2:7" x14ac:dyDescent="0.25">
      <c r="B45" s="63"/>
      <c r="C45" s="63"/>
      <c r="D45" s="63"/>
    </row>
    <row r="46" spans="2:7" x14ac:dyDescent="0.25">
      <c r="B46" s="63"/>
      <c r="C46" s="63"/>
      <c r="D46" s="63"/>
    </row>
    <row r="47" spans="2:7" x14ac:dyDescent="0.25">
      <c r="B47" s="63"/>
      <c r="C47" s="63"/>
      <c r="D47" s="63"/>
    </row>
    <row r="48" spans="2:7" x14ac:dyDescent="0.25">
      <c r="B48" s="63"/>
      <c r="C48" s="63"/>
      <c r="D48" s="63"/>
    </row>
    <row r="49" spans="2:18" x14ac:dyDescent="0.25">
      <c r="B49" s="63"/>
      <c r="C49" s="63"/>
      <c r="D49" s="63"/>
    </row>
    <row r="50" spans="2:18" x14ac:dyDescent="0.25">
      <c r="B50" s="63"/>
      <c r="C50" s="63"/>
      <c r="D50" s="63"/>
    </row>
    <row r="51" spans="2:18" x14ac:dyDescent="0.25">
      <c r="B51" s="63"/>
      <c r="C51" s="63"/>
      <c r="D51" s="63"/>
    </row>
    <row r="52" spans="2:18" x14ac:dyDescent="0.25">
      <c r="B52" s="63"/>
      <c r="C52" s="63"/>
      <c r="D52" s="63"/>
    </row>
    <row r="53" spans="2:18" x14ac:dyDescent="0.25">
      <c r="B53" s="63"/>
      <c r="C53" s="63"/>
      <c r="D53" s="63"/>
    </row>
    <row r="54" spans="2:18" x14ac:dyDescent="0.25">
      <c r="B54" s="63"/>
      <c r="C54" s="63"/>
      <c r="D54" s="63"/>
    </row>
    <row r="55" spans="2:18" x14ac:dyDescent="0.25">
      <c r="B55" s="63"/>
      <c r="C55" s="63"/>
      <c r="D55" s="63"/>
    </row>
    <row r="56" spans="2:18" x14ac:dyDescent="0.25">
      <c r="F56" s="59"/>
      <c r="G56" s="59"/>
      <c r="H56" s="59"/>
      <c r="I56" s="49"/>
      <c r="Q56" s="50"/>
      <c r="R56" s="50"/>
    </row>
    <row r="57" spans="2:18" x14ac:dyDescent="0.25">
      <c r="Q57" s="50"/>
      <c r="R57" s="50"/>
    </row>
    <row r="58" spans="2:18" x14ac:dyDescent="0.25">
      <c r="P58" s="12" t="s">
        <v>14</v>
      </c>
      <c r="R58" s="50"/>
    </row>
    <row r="59" spans="2:18" x14ac:dyDescent="0.25">
      <c r="K59" s="92"/>
      <c r="M59" s="139"/>
      <c r="N59" s="12">
        <v>1</v>
      </c>
      <c r="O59" s="12">
        <v>2</v>
      </c>
      <c r="P59" s="12">
        <v>3</v>
      </c>
      <c r="Q59" s="12">
        <v>4</v>
      </c>
    </row>
    <row r="60" spans="2:18" x14ac:dyDescent="0.25">
      <c r="I60" s="49"/>
      <c r="K60" s="49"/>
      <c r="L60" s="91" t="s">
        <v>78</v>
      </c>
      <c r="M60" s="92"/>
      <c r="N60" s="92">
        <f>'Core Calculations'!C48+'Core Calculations'!C51+'Core Calculations'!C53+'Core Calculations'!C55</f>
        <v>0</v>
      </c>
      <c r="O60" s="92">
        <f>'Core Calculations'!D48+'Core Calculations'!D51+'Core Calculations'!D53+'Core Calculations'!D55</f>
        <v>146250</v>
      </c>
      <c r="P60" s="92">
        <f>'Core Calculations'!E48+'Core Calculations'!E51+'Core Calculations'!E53+'Core Calculations'!E55</f>
        <v>416250</v>
      </c>
      <c r="Q60" s="92">
        <f>'Core Calculations'!F48+'Core Calculations'!F51+'Core Calculations'!F53+'Core Calculations'!F55</f>
        <v>686249.99999999988</v>
      </c>
    </row>
    <row r="61" spans="2:18" x14ac:dyDescent="0.25">
      <c r="I61" s="49"/>
      <c r="K61" s="49"/>
      <c r="L61" s="68" t="s">
        <v>101</v>
      </c>
      <c r="M61" s="140"/>
      <c r="N61" s="49">
        <f>'Core Calculations'!C47+'Core Calculations'!C49+'Core Calculations'!C50+'Core Calculations'!C54</f>
        <v>6000000</v>
      </c>
      <c r="O61" s="49">
        <f>'Core Calculations'!D47+'Core Calculations'!D49+'Core Calculations'!D50+'Core Calculations'!D54</f>
        <v>6243750</v>
      </c>
      <c r="P61" s="49">
        <f>'Core Calculations'!E47+'Core Calculations'!E49+'Core Calculations'!E50+'Core Calculations'!E54</f>
        <v>6693750</v>
      </c>
      <c r="Q61" s="49">
        <f>'Core Calculations'!F47+'Core Calculations'!F49+'Core Calculations'!F50+'Core Calculations'!F54</f>
        <v>7143750</v>
      </c>
    </row>
    <row r="62" spans="2:18" x14ac:dyDescent="0.25">
      <c r="K62" s="49"/>
      <c r="L62" s="91" t="s">
        <v>79</v>
      </c>
      <c r="M62" s="140"/>
      <c r="N62" s="49">
        <f>N60-'Core Calculations'!C62-'Core Calculations'!C64-('Core Calculations'!C51*(1-'Key Business Variables'!$C$22))-'Core Calculations'!C66-'Core Calculations'!C58</f>
        <v>0</v>
      </c>
      <c r="O62" s="49">
        <f>O60-'Core Calculations'!D62-'Core Calculations'!D64-('Core Calculations'!D51*(1-'Key Business Variables'!$C$22))-'Core Calculations'!D66-'Core Calculations'!D58</f>
        <v>26325</v>
      </c>
      <c r="P62" s="49">
        <f>P60-'Core Calculations'!E62-'Core Calculations'!E64-('Core Calculations'!E51*(1-'Key Business Variables'!$C$22))-'Core Calculations'!E66-'Core Calculations'!E58</f>
        <v>74925</v>
      </c>
      <c r="Q62" s="49">
        <f>Q60-'Core Calculations'!F62-'Core Calculations'!F64-('Core Calculations'!F51*(1-'Key Business Variables'!$C$22))-'Core Calculations'!F66-'Core Calculations'!F58</f>
        <v>123524.99999999988</v>
      </c>
    </row>
    <row r="63" spans="2:18" x14ac:dyDescent="0.25">
      <c r="K63" s="49"/>
      <c r="L63" s="68" t="s">
        <v>102</v>
      </c>
      <c r="M63" s="140"/>
      <c r="N63" s="49">
        <f>N61-'Core Calculations'!C57-'Core Calculations'!C59-'Core Calculations'!C60-'Core Calculations'!C63+('Core Calculations'!C51*(1-'Key Business Variables'!$C$22))</f>
        <v>2624999.9999999995</v>
      </c>
      <c r="O63" s="49">
        <f>O61-'Core Calculations'!D57-'Core Calculations'!D59-'Core Calculations'!D60-'Core Calculations'!D63+('Core Calculations'!D51*(1-'Key Business Variables'!$C$22))</f>
        <v>2734687.4999999995</v>
      </c>
      <c r="P63" s="49">
        <f>P61-'Core Calculations'!E57-'Core Calculations'!E59-'Core Calculations'!E60-'Core Calculations'!E63+('Core Calculations'!E51*(1-'Key Business Variables'!$C$22))</f>
        <v>2937187.4999999995</v>
      </c>
      <c r="Q63" s="49">
        <f>Q61-'Core Calculations'!F57-'Core Calculations'!F59-'Core Calculations'!F60-'Core Calculations'!F63+('Core Calculations'!F51*(1-'Key Business Variables'!$C$22))</f>
        <v>3139687.5</v>
      </c>
    </row>
    <row r="64" spans="2:18" x14ac:dyDescent="0.25">
      <c r="L64" s="68"/>
      <c r="M64" s="140"/>
      <c r="N64" s="49"/>
      <c r="O64" s="49"/>
      <c r="P64" s="49"/>
      <c r="Q64" s="49"/>
    </row>
    <row r="65" spans="9:17" x14ac:dyDescent="0.25">
      <c r="K65" s="49"/>
      <c r="L65" s="68"/>
      <c r="M65" s="138"/>
      <c r="N65" s="12">
        <v>1</v>
      </c>
      <c r="O65" s="12">
        <v>2</v>
      </c>
      <c r="P65" s="12">
        <v>3</v>
      </c>
      <c r="Q65" s="12">
        <v>4</v>
      </c>
    </row>
    <row r="66" spans="9:17" x14ac:dyDescent="0.25">
      <c r="I66" s="49"/>
      <c r="K66" s="49"/>
      <c r="L66" s="68" t="s">
        <v>82</v>
      </c>
      <c r="M66" s="49"/>
      <c r="N66" s="49">
        <f>(N62*$I$28)+(N63*$I$29)</f>
        <v>3937499.9999999991</v>
      </c>
      <c r="O66" s="49">
        <f>(O62*$I$28)+(O63*$I$29)</f>
        <v>4286306.2499999991</v>
      </c>
      <c r="P66" s="49">
        <f>(P62*$I$28)+(P63*$I$29)</f>
        <v>4930256.2499999991</v>
      </c>
      <c r="Q66" s="49">
        <f>(Q62*$I$28)+(Q63*$I$29)</f>
        <v>5574206.2499999991</v>
      </c>
    </row>
    <row r="67" spans="9:17" x14ac:dyDescent="0.25">
      <c r="K67" s="49"/>
      <c r="L67" s="68" t="s">
        <v>107</v>
      </c>
      <c r="M67" s="101"/>
      <c r="N67" s="101">
        <f>N66/N70</f>
        <v>0.65624999999999989</v>
      </c>
      <c r="O67" s="101">
        <f t="shared" ref="O67:Q67" si="0">O66/O70</f>
        <v>0.67078345070422518</v>
      </c>
      <c r="P67" s="101">
        <f t="shared" si="0"/>
        <v>0.69342563291139225</v>
      </c>
      <c r="Q67" s="101">
        <f t="shared" si="0"/>
        <v>0.71190373563218379</v>
      </c>
    </row>
    <row r="68" spans="9:17" x14ac:dyDescent="0.25">
      <c r="K68" s="49"/>
      <c r="L68" s="68" t="s">
        <v>108</v>
      </c>
      <c r="M68" s="101"/>
      <c r="N68" s="101">
        <f>N66/N72</f>
        <v>8.2894736842105328</v>
      </c>
      <c r="O68" s="101">
        <f t="shared" ref="O68:Q68" si="1">O66/O72</f>
        <v>4.6921155977613891</v>
      </c>
      <c r="P68" s="101">
        <f t="shared" si="1"/>
        <v>3.5466598926345894</v>
      </c>
      <c r="Q68" s="101">
        <f t="shared" si="1"/>
        <v>2.9513259694103784</v>
      </c>
    </row>
    <row r="69" spans="9:17" x14ac:dyDescent="0.25">
      <c r="K69" s="49"/>
      <c r="M69" s="140"/>
      <c r="N69" s="49"/>
      <c r="O69" s="49"/>
      <c r="P69" s="49"/>
      <c r="Q69" s="49"/>
    </row>
    <row r="70" spans="9:17" x14ac:dyDescent="0.25">
      <c r="I70" s="49"/>
      <c r="K70" s="49"/>
      <c r="L70" s="68" t="s">
        <v>21</v>
      </c>
      <c r="M70" s="49"/>
      <c r="N70" s="49">
        <f>SUM(N60:N61)</f>
        <v>6000000</v>
      </c>
      <c r="O70" s="49">
        <f t="shared" ref="O70:Q70" si="2">SUM(O60:O61)</f>
        <v>6390000</v>
      </c>
      <c r="P70" s="49">
        <f t="shared" si="2"/>
        <v>7110000</v>
      </c>
      <c r="Q70" s="49">
        <f t="shared" si="2"/>
        <v>7830000</v>
      </c>
    </row>
    <row r="71" spans="9:17" x14ac:dyDescent="0.25">
      <c r="I71" s="49"/>
      <c r="K71" s="49"/>
      <c r="L71" s="68" t="s">
        <v>103</v>
      </c>
      <c r="M71" s="49"/>
      <c r="N71" s="49">
        <f>SUM(N62:N63)</f>
        <v>2624999.9999999995</v>
      </c>
      <c r="O71" s="49">
        <f t="shared" ref="O71:Q71" si="3">SUM(O62:O63)</f>
        <v>2761012.4999999995</v>
      </c>
      <c r="P71" s="49">
        <f t="shared" si="3"/>
        <v>3012112.4999999995</v>
      </c>
      <c r="Q71" s="49">
        <f t="shared" si="3"/>
        <v>3263212.5</v>
      </c>
    </row>
    <row r="72" spans="9:17" x14ac:dyDescent="0.25">
      <c r="L72" s="68" t="s">
        <v>100</v>
      </c>
      <c r="M72" s="49"/>
      <c r="N72" s="49">
        <f>N71-'P&amp;L Detail'!G41</f>
        <v>474999.99999999953</v>
      </c>
      <c r="O72" s="49">
        <f>O71-'P&amp;L Detail'!I41</f>
        <v>913512.49999999953</v>
      </c>
      <c r="P72" s="49">
        <f>P71-'P&amp;L Detail'!K41</f>
        <v>1390112.4999999995</v>
      </c>
      <c r="Q72" s="49">
        <f>Q71-'P&amp;L Detail'!M41</f>
        <v>1888712.5</v>
      </c>
    </row>
    <row r="73" spans="9:17" x14ac:dyDescent="0.25">
      <c r="K73" s="62"/>
      <c r="M73" s="139"/>
    </row>
    <row r="74" spans="9:17" x14ac:dyDescent="0.25">
      <c r="K74" s="62"/>
      <c r="L74" s="91" t="s">
        <v>79</v>
      </c>
      <c r="M74" s="62"/>
      <c r="N74" s="62" t="e">
        <f>N62/N60</f>
        <v>#DIV/0!</v>
      </c>
      <c r="O74" s="62">
        <f>O62/O60</f>
        <v>0.18</v>
      </c>
      <c r="P74" s="62">
        <f t="shared" ref="P74:Q74" si="4">P62/P60</f>
        <v>0.18</v>
      </c>
      <c r="Q74" s="62">
        <f t="shared" si="4"/>
        <v>0.17999999999999985</v>
      </c>
    </row>
    <row r="75" spans="9:17" x14ac:dyDescent="0.25">
      <c r="K75" s="62"/>
      <c r="L75" s="68" t="s">
        <v>102</v>
      </c>
      <c r="M75" s="62"/>
      <c r="N75" s="62">
        <f>N63/N61</f>
        <v>0.43749999999999994</v>
      </c>
      <c r="O75" s="62">
        <f t="shared" ref="O75:Q75" si="5">O63/O61</f>
        <v>0.43798798798798794</v>
      </c>
      <c r="P75" s="62">
        <f t="shared" si="5"/>
        <v>0.43879551820728285</v>
      </c>
      <c r="Q75" s="62">
        <f t="shared" si="5"/>
        <v>0.43950131233595802</v>
      </c>
    </row>
    <row r="76" spans="9:17" x14ac:dyDescent="0.25">
      <c r="L76" s="68" t="s">
        <v>104</v>
      </c>
      <c r="M76" s="62"/>
      <c r="N76" s="62">
        <f>N71/N70</f>
        <v>0.43749999999999994</v>
      </c>
      <c r="O76" s="62">
        <f t="shared" ref="O76:Q76" si="6">O71/O70</f>
        <v>0.43208333333333326</v>
      </c>
      <c r="P76" s="62">
        <f t="shared" si="6"/>
        <v>0.42364451476793241</v>
      </c>
      <c r="Q76" s="62">
        <f t="shared" si="6"/>
        <v>0.41675766283524907</v>
      </c>
    </row>
    <row r="77" spans="9:17" hidden="1" x14ac:dyDescent="0.25">
      <c r="M77" s="139"/>
      <c r="N77" s="139" t="s">
        <v>118</v>
      </c>
      <c r="O77" s="139" t="s">
        <v>119</v>
      </c>
      <c r="P77" s="139" t="s">
        <v>120</v>
      </c>
      <c r="Q77" s="139" t="s">
        <v>121</v>
      </c>
    </row>
    <row r="78" spans="9:17" hidden="1" x14ac:dyDescent="0.25">
      <c r="L78" s="91" t="s">
        <v>78</v>
      </c>
      <c r="M78" s="142"/>
      <c r="N78" s="142">
        <f>$M$60+N60</f>
        <v>0</v>
      </c>
      <c r="O78" s="142">
        <f>$M$60+O60</f>
        <v>146250</v>
      </c>
      <c r="P78" s="142">
        <f>$M$60+P60</f>
        <v>416250</v>
      </c>
      <c r="Q78" s="142">
        <f>$M$60+Q60</f>
        <v>686249.99999999988</v>
      </c>
    </row>
    <row r="79" spans="9:17" hidden="1" x14ac:dyDescent="0.25">
      <c r="I79" s="49">
        <f>SUM(N78:Q81)</f>
        <v>38991337.5</v>
      </c>
      <c r="L79" s="68" t="s">
        <v>101</v>
      </c>
      <c r="M79" s="142"/>
      <c r="N79" s="142">
        <f>$M$61+N61</f>
        <v>6000000</v>
      </c>
      <c r="O79" s="142">
        <f>$M$61+O61</f>
        <v>6243750</v>
      </c>
      <c r="P79" s="142">
        <f>$M$61+P61</f>
        <v>6693750</v>
      </c>
      <c r="Q79" s="142">
        <f>$M$61+Q61</f>
        <v>7143750</v>
      </c>
    </row>
    <row r="80" spans="9:17" hidden="1" x14ac:dyDescent="0.25">
      <c r="L80" s="91" t="s">
        <v>79</v>
      </c>
      <c r="M80" s="142"/>
      <c r="N80" s="142">
        <f>$M$62+N62</f>
        <v>0</v>
      </c>
      <c r="O80" s="142">
        <f>$M$62+O62</f>
        <v>26325</v>
      </c>
      <c r="P80" s="142">
        <f>$M$62+P62</f>
        <v>74925</v>
      </c>
      <c r="Q80" s="142">
        <f>$M$62+Q62</f>
        <v>123524.99999999988</v>
      </c>
    </row>
    <row r="81" spans="9:17" hidden="1" x14ac:dyDescent="0.25">
      <c r="L81" s="68" t="s">
        <v>102</v>
      </c>
      <c r="M81" s="142"/>
      <c r="N81" s="142">
        <f>$M$63+N63</f>
        <v>2624999.9999999995</v>
      </c>
      <c r="O81" s="142">
        <f>$M$63+O63</f>
        <v>2734687.4999999995</v>
      </c>
      <c r="P81" s="142">
        <f>$M$63+P63</f>
        <v>2937187.4999999995</v>
      </c>
      <c r="Q81" s="142">
        <f>$M$63+Q63</f>
        <v>3139687.5</v>
      </c>
    </row>
    <row r="82" spans="9:17" hidden="1" x14ac:dyDescent="0.25">
      <c r="L82" s="68"/>
      <c r="M82" s="49"/>
      <c r="N82" s="49"/>
      <c r="O82" s="49"/>
      <c r="P82" s="49"/>
      <c r="Q82" s="49"/>
    </row>
    <row r="83" spans="9:17" hidden="1" x14ac:dyDescent="0.25">
      <c r="L83" s="68"/>
      <c r="M83" s="139"/>
      <c r="N83" s="139" t="s">
        <v>118</v>
      </c>
      <c r="O83" s="139" t="s">
        <v>119</v>
      </c>
      <c r="P83" s="139" t="s">
        <v>120</v>
      </c>
      <c r="Q83" s="139" t="s">
        <v>121</v>
      </c>
    </row>
    <row r="84" spans="9:17" hidden="1" x14ac:dyDescent="0.25">
      <c r="I84" s="49">
        <f>SUM(N84:Q86)</f>
        <v>18728290.961937957</v>
      </c>
      <c r="L84" s="68" t="s">
        <v>82</v>
      </c>
      <c r="M84" s="49"/>
      <c r="N84" s="49">
        <f>(N80*$I$28)+(N81*$I$29)</f>
        <v>3937499.9999999991</v>
      </c>
      <c r="O84" s="49">
        <f>(O80*$I$28)+(O81*$I$29)</f>
        <v>4286306.2499999991</v>
      </c>
      <c r="P84" s="49">
        <f>(P80*$I$28)+(P81*$I$29)</f>
        <v>4930256.2499999991</v>
      </c>
      <c r="Q84" s="49">
        <f>(Q80*$I$28)+(Q81*$I$29)</f>
        <v>5574206.2499999991</v>
      </c>
    </row>
    <row r="85" spans="9:17" hidden="1" x14ac:dyDescent="0.25">
      <c r="L85" s="68" t="s">
        <v>107</v>
      </c>
      <c r="M85" s="101"/>
      <c r="N85" s="101">
        <f t="shared" ref="N85:Q85" si="7">N84/N88</f>
        <v>0.65624999999999989</v>
      </c>
      <c r="O85" s="101">
        <f t="shared" si="7"/>
        <v>0.67078345070422518</v>
      </c>
      <c r="P85" s="101">
        <f t="shared" si="7"/>
        <v>0.69342563291139225</v>
      </c>
      <c r="Q85" s="101">
        <f t="shared" si="7"/>
        <v>0.71190373563218379</v>
      </c>
    </row>
    <row r="86" spans="9:17" hidden="1" x14ac:dyDescent="0.25">
      <c r="L86" s="68" t="s">
        <v>108</v>
      </c>
      <c r="M86" s="143"/>
      <c r="N86" s="143">
        <f t="shared" ref="N86:Q86" si="8">N84/N90</f>
        <v>8.2894736842105328</v>
      </c>
      <c r="O86" s="143">
        <f t="shared" si="8"/>
        <v>4.6921155977613891</v>
      </c>
      <c r="P86" s="143">
        <f t="shared" si="8"/>
        <v>3.5466598926345894</v>
      </c>
      <c r="Q86" s="143">
        <f t="shared" si="8"/>
        <v>2.9513259694103784</v>
      </c>
    </row>
    <row r="87" spans="9:17" hidden="1" x14ac:dyDescent="0.25"/>
    <row r="88" spans="9:17" hidden="1" x14ac:dyDescent="0.25">
      <c r="I88" s="49" t="e">
        <f>SUM(N88:Q94)</f>
        <v>#DIV/0!</v>
      </c>
      <c r="L88" s="68" t="s">
        <v>21</v>
      </c>
      <c r="M88" s="49"/>
      <c r="N88" s="49">
        <f t="shared" ref="N88:Q88" si="9">SUM(N78:N79)</f>
        <v>6000000</v>
      </c>
      <c r="O88" s="49">
        <f t="shared" si="9"/>
        <v>6390000</v>
      </c>
      <c r="P88" s="49">
        <f t="shared" si="9"/>
        <v>7110000</v>
      </c>
      <c r="Q88" s="49">
        <f t="shared" si="9"/>
        <v>7830000</v>
      </c>
    </row>
    <row r="89" spans="9:17" hidden="1" x14ac:dyDescent="0.25">
      <c r="L89" s="68" t="s">
        <v>103</v>
      </c>
      <c r="M89" s="49"/>
      <c r="N89" s="49">
        <f t="shared" ref="N89:Q89" si="10">SUM(N80:N81)</f>
        <v>2624999.9999999995</v>
      </c>
      <c r="O89" s="49">
        <f t="shared" si="10"/>
        <v>2761012.4999999995</v>
      </c>
      <c r="P89" s="49">
        <f t="shared" si="10"/>
        <v>3012112.4999999995</v>
      </c>
      <c r="Q89" s="49">
        <f t="shared" si="10"/>
        <v>3263212.5</v>
      </c>
    </row>
    <row r="90" spans="9:17" hidden="1" x14ac:dyDescent="0.25">
      <c r="L90" s="68" t="s">
        <v>100</v>
      </c>
      <c r="M90" s="49"/>
      <c r="N90" s="49">
        <f>N89-'P&amp;L Detail'!G41</f>
        <v>474999.99999999953</v>
      </c>
      <c r="O90" s="49">
        <f>O89-'P&amp;L Detail'!I41</f>
        <v>913512.49999999953</v>
      </c>
      <c r="P90" s="49">
        <f>P89-'P&amp;L Detail'!K41</f>
        <v>1390112.4999999995</v>
      </c>
      <c r="Q90" s="49">
        <f>Q89-'P&amp;L Detail'!M41</f>
        <v>1888712.5</v>
      </c>
    </row>
    <row r="91" spans="9:17" hidden="1" x14ac:dyDescent="0.25"/>
    <row r="92" spans="9:17" hidden="1" x14ac:dyDescent="0.25">
      <c r="L92" s="91" t="s">
        <v>79</v>
      </c>
      <c r="M92" s="62"/>
      <c r="N92" s="62" t="e">
        <f t="shared" ref="N92:Q92" si="11">N80/N78</f>
        <v>#DIV/0!</v>
      </c>
      <c r="O92" s="62">
        <f t="shared" si="11"/>
        <v>0.18</v>
      </c>
      <c r="P92" s="62">
        <f t="shared" si="11"/>
        <v>0.18</v>
      </c>
      <c r="Q92" s="62">
        <f t="shared" si="11"/>
        <v>0.17999999999999985</v>
      </c>
    </row>
    <row r="93" spans="9:17" hidden="1" x14ac:dyDescent="0.25">
      <c r="L93" s="68" t="s">
        <v>102</v>
      </c>
      <c r="M93" s="62"/>
      <c r="N93" s="62">
        <f t="shared" ref="N93:Q93" si="12">N81/N79</f>
        <v>0.43749999999999994</v>
      </c>
      <c r="O93" s="62">
        <f t="shared" si="12"/>
        <v>0.43798798798798794</v>
      </c>
      <c r="P93" s="62">
        <f t="shared" si="12"/>
        <v>0.43879551820728285</v>
      </c>
      <c r="Q93" s="62">
        <f t="shared" si="12"/>
        <v>0.43950131233595802</v>
      </c>
    </row>
    <row r="94" spans="9:17" hidden="1" x14ac:dyDescent="0.25">
      <c r="L94" s="68" t="s">
        <v>104</v>
      </c>
      <c r="M94" s="62"/>
      <c r="N94" s="62">
        <f t="shared" ref="N94:Q94" si="13">N89/N88</f>
        <v>0.43749999999999994</v>
      </c>
      <c r="O94" s="62">
        <f t="shared" si="13"/>
        <v>0.43208333333333326</v>
      </c>
      <c r="P94" s="62">
        <f t="shared" si="13"/>
        <v>0.42364451476793241</v>
      </c>
      <c r="Q94" s="62">
        <f t="shared" si="13"/>
        <v>0.41675766283524907</v>
      </c>
    </row>
  </sheetData>
  <sheetProtection algorithmName="SHA-512" hashValue="oHuaXY843VaumyCNLRGT8itCtFoTgvWFXAtXcS/hiIQ361msHpSXqCVa/oNkpMNIZlHjteGWqIES7Q4KmcTGTg==" saltValue="aubLxU+j0c0xBs/UTbtKuQ==" spinCount="100000" sheet="1" objects="1" scenarios="1"/>
  <mergeCells count="25">
    <mergeCell ref="K26:Q26"/>
    <mergeCell ref="E21:I21"/>
    <mergeCell ref="G2:H2"/>
    <mergeCell ref="G4:H4"/>
    <mergeCell ref="G6:H6"/>
    <mergeCell ref="G3:H3"/>
    <mergeCell ref="G5:H5"/>
    <mergeCell ref="G7:H7"/>
    <mergeCell ref="I24:I25"/>
    <mergeCell ref="F26:I27"/>
    <mergeCell ref="H12:J13"/>
    <mergeCell ref="B26:C27"/>
    <mergeCell ref="B31:C31"/>
    <mergeCell ref="E6:E7"/>
    <mergeCell ref="E4:E5"/>
    <mergeCell ref="E24:E25"/>
    <mergeCell ref="B6:B7"/>
    <mergeCell ref="B2:C4"/>
    <mergeCell ref="B9:F10"/>
    <mergeCell ref="B17:C18"/>
    <mergeCell ref="B11:C11"/>
    <mergeCell ref="E11:F11"/>
    <mergeCell ref="C6:C7"/>
    <mergeCell ref="E2:E3"/>
    <mergeCell ref="E17:I17"/>
  </mergeCells>
  <pageMargins left="0.7" right="0.7" top="0.75" bottom="0.75" header="0.3" footer="0.3"/>
  <pageSetup orientation="portrait" r:id="rId1"/>
  <ignoredErrors>
    <ignoredError sqref="C12:F13 J5 H5 F5:G5 I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croll Bar 5">
              <controlPr locked="0" defaultSiz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Scroll Bar 26">
              <controlPr locked="0" defaultSize="0" autoPict="0">
                <anchor moveWithCells="1">
                  <from>
                    <xdr:col>4</xdr:col>
                    <xdr:colOff>0</xdr:colOff>
                    <xdr:row>21</xdr:row>
                    <xdr:rowOff>9525</xdr:rowOff>
                  </from>
                  <to>
                    <xdr:col>9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R97"/>
  <sheetViews>
    <sheetView showGridLines="0" zoomScale="80" zoomScaleNormal="80" workbookViewId="0">
      <pane xSplit="4" ySplit="2" topLeftCell="E3" activePane="bottomRight" state="frozen"/>
      <selection pane="topRight" activeCell="C1" sqref="C1"/>
      <selection pane="bottomLeft" activeCell="A3" sqref="A3"/>
      <selection pane="bottomRight" activeCell="Q30" sqref="Q30"/>
    </sheetView>
  </sheetViews>
  <sheetFormatPr defaultColWidth="9.140625" defaultRowHeight="15" x14ac:dyDescent="0.25"/>
  <cols>
    <col min="1" max="1" width="9.140625" style="60"/>
    <col min="2" max="3" width="5" style="60" customWidth="1"/>
    <col min="4" max="4" width="55.85546875" style="60" customWidth="1"/>
    <col min="5" max="5" width="16.7109375" style="51" hidden="1" customWidth="1"/>
    <col min="6" max="6" width="9.140625" style="60" hidden="1" customWidth="1"/>
    <col min="7" max="7" width="16.7109375" style="60" customWidth="1"/>
    <col min="8" max="8" width="9.140625" style="60"/>
    <col min="9" max="9" width="16.7109375" style="60" customWidth="1"/>
    <col min="10" max="10" width="9.140625" style="60"/>
    <col min="11" max="11" width="16.7109375" style="60" customWidth="1"/>
    <col min="12" max="12" width="11.28515625" style="60" bestFit="1" customWidth="1"/>
    <col min="13" max="13" width="16.7109375" style="60" customWidth="1"/>
    <col min="14" max="14" width="11" style="60" customWidth="1"/>
    <col min="15" max="15" width="5.42578125" style="60" customWidth="1"/>
    <col min="16" max="16" width="12" style="60" bestFit="1" customWidth="1"/>
    <col min="17" max="17" width="11" style="18" bestFit="1" customWidth="1"/>
    <col min="18" max="18" width="35.28515625" style="60" customWidth="1"/>
    <col min="19" max="16384" width="9.140625" style="60"/>
  </cols>
  <sheetData>
    <row r="1" spans="1:17" ht="25.5" customHeight="1" x14ac:dyDescent="0.25">
      <c r="E1" s="194" t="s">
        <v>113</v>
      </c>
      <c r="F1" s="194"/>
      <c r="G1" s="194" t="s">
        <v>7</v>
      </c>
      <c r="H1" s="194"/>
      <c r="I1" s="194" t="s">
        <v>4</v>
      </c>
      <c r="J1" s="194"/>
      <c r="K1" s="194" t="s">
        <v>5</v>
      </c>
      <c r="L1" s="194"/>
      <c r="M1" s="194" t="s">
        <v>6</v>
      </c>
      <c r="N1" s="194"/>
      <c r="Q1" s="60"/>
    </row>
    <row r="2" spans="1:17" ht="30" x14ac:dyDescent="0.25">
      <c r="E2" s="125"/>
      <c r="F2" s="20" t="s">
        <v>8</v>
      </c>
      <c r="G2" s="19"/>
      <c r="H2" s="20" t="s">
        <v>8</v>
      </c>
      <c r="I2" s="19"/>
      <c r="J2" s="20" t="s">
        <v>8</v>
      </c>
      <c r="K2" s="19"/>
      <c r="L2" s="20" t="s">
        <v>8</v>
      </c>
      <c r="M2" s="19"/>
      <c r="N2" s="20" t="s">
        <v>8</v>
      </c>
      <c r="Q2" s="60"/>
    </row>
    <row r="3" spans="1:17" x14ac:dyDescent="0.25">
      <c r="A3" s="195" t="s">
        <v>21</v>
      </c>
      <c r="B3" s="60" t="s">
        <v>34</v>
      </c>
      <c r="G3" s="19"/>
      <c r="H3" s="20"/>
      <c r="I3" s="19"/>
      <c r="J3" s="20"/>
      <c r="K3" s="19"/>
      <c r="L3" s="20"/>
      <c r="M3" s="19"/>
      <c r="N3" s="20"/>
      <c r="Q3" s="60"/>
    </row>
    <row r="4" spans="1:17" x14ac:dyDescent="0.25">
      <c r="A4" s="195"/>
      <c r="C4" s="60" t="s">
        <v>114</v>
      </c>
      <c r="E4" s="51">
        <v>0</v>
      </c>
      <c r="F4" s="21">
        <f t="shared" ref="F4:F6" si="0">IFERROR(E4/$E$43,0)</f>
        <v>0</v>
      </c>
      <c r="G4" s="51">
        <f>'Core Calculations'!C47+'Core Calculations'!C48+E4</f>
        <v>1500000</v>
      </c>
      <c r="H4" s="21">
        <f>IFERROR(G4/$G$43,0)</f>
        <v>0.25</v>
      </c>
      <c r="I4" s="51">
        <f>'Core Calculations'!D47+'Core Calculations'!D48+E4</f>
        <v>1646250</v>
      </c>
      <c r="J4" s="21">
        <f>IFERROR(I4/$I$43,0)</f>
        <v>0.25762910798122068</v>
      </c>
      <c r="K4" s="51">
        <f>'Core Calculations'!E47+'Core Calculations'!E48+E4</f>
        <v>1916250</v>
      </c>
      <c r="L4" s="21">
        <f>IFERROR(K4/$K$43,0)</f>
        <v>0.26951476793248946</v>
      </c>
      <c r="M4" s="51">
        <f>'Core Calculations'!F47+'Core Calculations'!F48+E4</f>
        <v>2186250</v>
      </c>
      <c r="N4" s="21">
        <f>IFERROR(M4/$M$43,0)</f>
        <v>0.2792145593869732</v>
      </c>
      <c r="Q4" s="60"/>
    </row>
    <row r="5" spans="1:17" x14ac:dyDescent="0.25">
      <c r="A5" s="195"/>
      <c r="C5" s="60" t="s">
        <v>74</v>
      </c>
      <c r="E5" s="124">
        <v>0</v>
      </c>
      <c r="F5" s="21">
        <f t="shared" si="0"/>
        <v>0</v>
      </c>
      <c r="G5" s="124">
        <f>'Core Calculations'!C50+'Core Calculations'!C51+E5</f>
        <v>0</v>
      </c>
      <c r="H5" s="21">
        <f>IFERROR(G5/$G$43,0)</f>
        <v>0</v>
      </c>
      <c r="I5" s="124">
        <f>'Core Calculations'!D50+'Core Calculations'!D51+E5</f>
        <v>0</v>
      </c>
      <c r="J5" s="21">
        <f>IFERROR(I5/$I$43,0)</f>
        <v>0</v>
      </c>
      <c r="K5" s="124">
        <f>'Core Calculations'!E50+'Core Calculations'!E51+E5</f>
        <v>0</v>
      </c>
      <c r="L5" s="21">
        <f>IFERROR(K5/$K$43,0)</f>
        <v>0</v>
      </c>
      <c r="M5" s="124">
        <f>'Core Calculations'!F50+'Core Calculations'!F51+E5</f>
        <v>0</v>
      </c>
      <c r="N5" s="21">
        <f>IFERROR(M5/$M$43,0)</f>
        <v>0</v>
      </c>
      <c r="Q5" s="60"/>
    </row>
    <row r="6" spans="1:17" x14ac:dyDescent="0.25">
      <c r="A6" s="195"/>
      <c r="D6" s="47" t="s">
        <v>20</v>
      </c>
      <c r="E6" s="125">
        <f>SUM(E4:E5)</f>
        <v>0</v>
      </c>
      <c r="F6" s="21">
        <f t="shared" si="0"/>
        <v>0</v>
      </c>
      <c r="G6" s="125">
        <f>SUM(G4:G5)</f>
        <v>1500000</v>
      </c>
      <c r="H6" s="21">
        <f>IFERROR(G6/$G$43,0)</f>
        <v>0.25</v>
      </c>
      <c r="I6" s="125">
        <f>SUM(I4:I5)</f>
        <v>1646250</v>
      </c>
      <c r="J6" s="21">
        <f>IFERROR(I6/$I$43,0)</f>
        <v>0.25762910798122068</v>
      </c>
      <c r="K6" s="125">
        <f>SUM(K4:K5)</f>
        <v>1916250</v>
      </c>
      <c r="L6" s="21">
        <f>IFERROR(K6/$K$43,0)</f>
        <v>0.26951476793248946</v>
      </c>
      <c r="M6" s="125">
        <f>SUM(M4:M5)</f>
        <v>2186250</v>
      </c>
      <c r="N6" s="21">
        <f>IFERROR(M6/$M$43,0)</f>
        <v>0.2792145593869732</v>
      </c>
      <c r="Q6" s="60"/>
    </row>
    <row r="7" spans="1:17" x14ac:dyDescent="0.25">
      <c r="A7" s="195"/>
      <c r="D7" s="47"/>
      <c r="E7" s="135"/>
      <c r="F7" s="47"/>
      <c r="G7" s="125"/>
      <c r="H7" s="20"/>
      <c r="I7" s="125"/>
      <c r="J7" s="20"/>
      <c r="K7" s="125"/>
      <c r="L7" s="20"/>
      <c r="M7" s="125"/>
      <c r="N7" s="20"/>
      <c r="Q7" s="60"/>
    </row>
    <row r="8" spans="1:17" ht="14.45" customHeight="1" x14ac:dyDescent="0.25">
      <c r="A8" s="195"/>
      <c r="B8" s="60" t="s">
        <v>35</v>
      </c>
      <c r="G8" s="125"/>
      <c r="H8" s="20"/>
      <c r="I8" s="125"/>
      <c r="J8" s="20"/>
      <c r="K8" s="125"/>
      <c r="L8" s="20"/>
      <c r="M8" s="125"/>
      <c r="N8" s="20"/>
      <c r="Q8" s="60"/>
    </row>
    <row r="9" spans="1:17" x14ac:dyDescent="0.25">
      <c r="A9" s="195"/>
      <c r="C9" s="60" t="s">
        <v>31</v>
      </c>
      <c r="E9" s="51">
        <v>0</v>
      </c>
      <c r="F9" s="21">
        <f t="shared" ref="F9" si="1">IFERROR(E9/$E$43,0)</f>
        <v>0</v>
      </c>
      <c r="G9" s="51">
        <f>'Core Calculations'!C49+E9</f>
        <v>4500000</v>
      </c>
      <c r="H9" s="21">
        <f>IFERROR(G9/$G$43,0)</f>
        <v>0.75</v>
      </c>
      <c r="I9" s="51">
        <f>'Core Calculations'!D49+E9</f>
        <v>4743750</v>
      </c>
      <c r="J9" s="21">
        <f>IFERROR(I9/$I$43,0)</f>
        <v>0.74237089201877937</v>
      </c>
      <c r="K9" s="51">
        <f>'Core Calculations'!E49+E9</f>
        <v>5193750</v>
      </c>
      <c r="L9" s="21">
        <f>IFERROR(K9/$K$43,0)</f>
        <v>0.73048523206751059</v>
      </c>
      <c r="M9" s="51">
        <f>'Core Calculations'!F49+E9</f>
        <v>5643750</v>
      </c>
      <c r="N9" s="21">
        <f>IFERROR(M9/$M$43,0)</f>
        <v>0.72078544061302685</v>
      </c>
      <c r="Q9" s="60"/>
    </row>
    <row r="10" spans="1:17" x14ac:dyDescent="0.25">
      <c r="A10" s="195"/>
      <c r="D10" s="47"/>
      <c r="E10" s="135"/>
      <c r="F10" s="47"/>
      <c r="G10" s="51"/>
      <c r="H10" s="25"/>
      <c r="I10" s="133"/>
      <c r="J10" s="25"/>
      <c r="K10" s="133"/>
      <c r="L10" s="25"/>
      <c r="M10" s="133"/>
      <c r="N10" s="25"/>
      <c r="Q10" s="60"/>
    </row>
    <row r="11" spans="1:17" x14ac:dyDescent="0.25">
      <c r="A11" s="195"/>
      <c r="B11" s="60" t="s">
        <v>36</v>
      </c>
      <c r="G11" s="51"/>
      <c r="I11" s="51"/>
      <c r="K11" s="51"/>
      <c r="M11" s="51"/>
      <c r="Q11" s="60"/>
    </row>
    <row r="12" spans="1:17" x14ac:dyDescent="0.25">
      <c r="A12" s="195"/>
      <c r="C12" s="60" t="s">
        <v>115</v>
      </c>
      <c r="E12" s="51">
        <v>0</v>
      </c>
      <c r="F12" s="21">
        <f t="shared" ref="F12:F14" si="2">IFERROR(E12/$E$43,0)</f>
        <v>0</v>
      </c>
      <c r="G12" s="51">
        <f>'Core Calculations'!C53+E12</f>
        <v>0</v>
      </c>
      <c r="H12" s="21">
        <f>IFERROR(G12/$G$43,0)</f>
        <v>0</v>
      </c>
      <c r="I12" s="51">
        <f>'Core Calculations'!D53+E12</f>
        <v>0</v>
      </c>
      <c r="J12" s="21">
        <f>IFERROR(I12/$I$43,0)</f>
        <v>0</v>
      </c>
      <c r="K12" s="51">
        <f>'Core Calculations'!E53+E12</f>
        <v>0</v>
      </c>
      <c r="L12" s="21">
        <f>IFERROR(K12/$K$43,0)</f>
        <v>0</v>
      </c>
      <c r="M12" s="51">
        <f>'Core Calculations'!F53+E12</f>
        <v>0</v>
      </c>
      <c r="N12" s="21">
        <f>IFERROR(M12/$M$43,0)</f>
        <v>0</v>
      </c>
      <c r="Q12" s="60"/>
    </row>
    <row r="13" spans="1:17" s="36" customFormat="1" x14ac:dyDescent="0.25">
      <c r="A13" s="195"/>
      <c r="C13" s="65" t="s">
        <v>37</v>
      </c>
      <c r="E13" s="126">
        <v>0</v>
      </c>
      <c r="F13" s="21">
        <f t="shared" si="2"/>
        <v>0</v>
      </c>
      <c r="G13" s="126">
        <f>'Core Calculations'!C55+E13</f>
        <v>0</v>
      </c>
      <c r="H13" s="21">
        <f>IFERROR(G13/$G$43,0)</f>
        <v>0</v>
      </c>
      <c r="I13" s="126">
        <f>'Core Calculations'!D55+E13</f>
        <v>0</v>
      </c>
      <c r="J13" s="21">
        <f>IFERROR(I13/$I$43,0)</f>
        <v>0</v>
      </c>
      <c r="K13" s="126">
        <f>'Core Calculations'!E55+E13</f>
        <v>0</v>
      </c>
      <c r="L13" s="21">
        <f>IFERROR(K13/$K$43,0)</f>
        <v>0</v>
      </c>
      <c r="M13" s="126">
        <f>'Core Calculations'!F55+E13</f>
        <v>0</v>
      </c>
      <c r="N13" s="21">
        <f>IFERROR(M13/$M$43,0)</f>
        <v>0</v>
      </c>
    </row>
    <row r="14" spans="1:17" x14ac:dyDescent="0.25">
      <c r="A14" s="195"/>
      <c r="C14" s="12"/>
      <c r="D14" s="47" t="s">
        <v>20</v>
      </c>
      <c r="E14" s="127">
        <f>SUM(E12:E13)</f>
        <v>0</v>
      </c>
      <c r="F14" s="21">
        <f t="shared" si="2"/>
        <v>0</v>
      </c>
      <c r="G14" s="127">
        <f>SUM(G12:G13)</f>
        <v>0</v>
      </c>
      <c r="H14" s="21">
        <f>IFERROR(G14/$G$43,0)</f>
        <v>0</v>
      </c>
      <c r="I14" s="127">
        <f>SUM(I12:I13)</f>
        <v>0</v>
      </c>
      <c r="J14" s="21">
        <f>IFERROR(I14/$I$43,0)</f>
        <v>0</v>
      </c>
      <c r="K14" s="127">
        <f>SUM(K12:K13)</f>
        <v>0</v>
      </c>
      <c r="L14" s="21">
        <f>IFERROR(K14/$K$43,0)</f>
        <v>0</v>
      </c>
      <c r="M14" s="127">
        <f>SUM(M12:M13)</f>
        <v>0</v>
      </c>
      <c r="N14" s="21">
        <f>IFERROR(M14/$M$43,0)</f>
        <v>0</v>
      </c>
      <c r="Q14" s="60"/>
    </row>
    <row r="15" spans="1:17" x14ac:dyDescent="0.25">
      <c r="A15" s="195"/>
      <c r="B15" s="60" t="s">
        <v>24</v>
      </c>
      <c r="C15" s="48"/>
      <c r="G15" s="51"/>
      <c r="H15" s="21"/>
      <c r="I15" s="51"/>
      <c r="J15" s="21"/>
      <c r="K15" s="51"/>
      <c r="L15" s="21"/>
      <c r="M15" s="51"/>
      <c r="N15" s="21"/>
      <c r="Q15" s="60"/>
    </row>
    <row r="16" spans="1:17" x14ac:dyDescent="0.25">
      <c r="A16" s="195"/>
      <c r="C16" s="60" t="s">
        <v>32</v>
      </c>
      <c r="E16" s="51">
        <v>0</v>
      </c>
      <c r="F16" s="21">
        <f t="shared" ref="F16" si="3">IFERROR(E16/$E$43,0)</f>
        <v>0</v>
      </c>
      <c r="G16" s="51">
        <f>'Core Calculations'!C54+E16</f>
        <v>0</v>
      </c>
      <c r="H16" s="21">
        <f>IFERROR(G16/$G$43,0)</f>
        <v>0</v>
      </c>
      <c r="I16" s="51">
        <f>'Core Calculations'!D54+E16</f>
        <v>0</v>
      </c>
      <c r="J16" s="21">
        <f>IFERROR(I16/$I$43,0)</f>
        <v>0</v>
      </c>
      <c r="K16" s="51">
        <f>'Core Calculations'!E54+E16</f>
        <v>0</v>
      </c>
      <c r="L16" s="21">
        <f>IFERROR(K16/$K$43,0)</f>
        <v>0</v>
      </c>
      <c r="M16" s="51">
        <f>'Core Calculations'!F54+E16</f>
        <v>0</v>
      </c>
      <c r="N16" s="21">
        <f>IFERROR(M16/$M$43,0)</f>
        <v>0</v>
      </c>
      <c r="Q16" s="60"/>
    </row>
    <row r="17" spans="1:17" x14ac:dyDescent="0.25">
      <c r="A17" s="195"/>
      <c r="G17" s="51"/>
      <c r="H17" s="21"/>
      <c r="I17" s="51"/>
      <c r="J17" s="21"/>
      <c r="K17" s="51"/>
      <c r="L17" s="21"/>
      <c r="M17" s="51"/>
      <c r="N17" s="21"/>
      <c r="Q17" s="60"/>
    </row>
    <row r="18" spans="1:17" x14ac:dyDescent="0.25">
      <c r="G18" s="51"/>
      <c r="H18" s="26"/>
      <c r="I18" s="51"/>
      <c r="J18" s="26"/>
      <c r="K18" s="51"/>
      <c r="L18" s="26"/>
      <c r="M18" s="51"/>
      <c r="N18" s="26"/>
    </row>
    <row r="19" spans="1:17" x14ac:dyDescent="0.25">
      <c r="A19" s="195" t="s">
        <v>22</v>
      </c>
      <c r="B19" s="60" t="s">
        <v>38</v>
      </c>
      <c r="G19" s="51"/>
      <c r="H19" s="26"/>
      <c r="I19" s="51"/>
      <c r="J19" s="26"/>
      <c r="K19" s="51"/>
      <c r="L19" s="26"/>
      <c r="M19" s="51"/>
      <c r="N19" s="26"/>
    </row>
    <row r="20" spans="1:17" x14ac:dyDescent="0.25">
      <c r="A20" s="195"/>
      <c r="C20" s="60" t="s">
        <v>114</v>
      </c>
      <c r="E20" s="51">
        <v>0</v>
      </c>
      <c r="F20" s="21">
        <f t="shared" ref="F20:F22" si="4">IFERROR(E20/$E$43,0)</f>
        <v>0</v>
      </c>
      <c r="G20" s="51">
        <f>'Core Calculations'!C57+'Core Calculations'!C58+E20</f>
        <v>900000</v>
      </c>
      <c r="H20" s="21">
        <f>IFERROR(G20/$G$43,0)</f>
        <v>0.15</v>
      </c>
      <c r="I20" s="51">
        <f>'Core Calculations'!D57+'Core Calculations'!D58+E20</f>
        <v>1019925</v>
      </c>
      <c r="J20" s="21">
        <f>IFERROR(I20/$I$43,0)</f>
        <v>0.15961267605633803</v>
      </c>
      <c r="K20" s="51">
        <f>'Core Calculations'!E57+'Core Calculations'!E58+E20</f>
        <v>1241325</v>
      </c>
      <c r="L20" s="21">
        <f>IFERROR(K20/$K$43,0)</f>
        <v>0.17458860759493672</v>
      </c>
      <c r="M20" s="51">
        <f>'Core Calculations'!F57+'Core Calculations'!F58+E20</f>
        <v>1462725</v>
      </c>
      <c r="N20" s="21">
        <f>IFERROR(M20/$M$43,0)</f>
        <v>0.18681034482758621</v>
      </c>
    </row>
    <row r="21" spans="1:17" x14ac:dyDescent="0.25">
      <c r="A21" s="195"/>
      <c r="C21" s="60" t="s">
        <v>74</v>
      </c>
      <c r="E21" s="124">
        <v>0</v>
      </c>
      <c r="F21" s="21">
        <f t="shared" si="4"/>
        <v>0</v>
      </c>
      <c r="G21" s="124">
        <f>'Core Calculations'!C60+E21</f>
        <v>0</v>
      </c>
      <c r="H21" s="21">
        <f>IFERROR(G21/$G$43,0)</f>
        <v>0</v>
      </c>
      <c r="I21" s="124">
        <f>'Core Calculations'!D60+E21</f>
        <v>0</v>
      </c>
      <c r="J21" s="21">
        <f>IFERROR(I21/$I$43,0)</f>
        <v>0</v>
      </c>
      <c r="K21" s="124">
        <f>'Core Calculations'!E60+E21</f>
        <v>0</v>
      </c>
      <c r="L21" s="21">
        <f>IFERROR(K21/$K$43,0)</f>
        <v>0</v>
      </c>
      <c r="M21" s="124">
        <f>'Core Calculations'!F60+E21</f>
        <v>0</v>
      </c>
      <c r="N21" s="21">
        <f>IFERROR(M21/$M$43,0)</f>
        <v>0</v>
      </c>
    </row>
    <row r="22" spans="1:17" x14ac:dyDescent="0.25">
      <c r="A22" s="195"/>
      <c r="D22" s="47" t="s">
        <v>20</v>
      </c>
      <c r="E22" s="51">
        <f>SUM(E20:E21)</f>
        <v>0</v>
      </c>
      <c r="F22" s="21">
        <f t="shared" si="4"/>
        <v>0</v>
      </c>
      <c r="G22" s="51">
        <f>SUM(G20:G21)</f>
        <v>900000</v>
      </c>
      <c r="H22" s="21">
        <f>IFERROR(G22/$G$43,0)</f>
        <v>0.15</v>
      </c>
      <c r="I22" s="51">
        <f>SUM(I20:I21)</f>
        <v>1019925</v>
      </c>
      <c r="J22" s="21">
        <f>IFERROR(I22/$I$43,0)</f>
        <v>0.15961267605633803</v>
      </c>
      <c r="K22" s="51">
        <f>SUM(K20:K21)</f>
        <v>1241325</v>
      </c>
      <c r="L22" s="21">
        <f>IFERROR(K22/$K$43,0)</f>
        <v>0.17458860759493672</v>
      </c>
      <c r="M22" s="51">
        <f>SUM(M20:M21)</f>
        <v>1462725</v>
      </c>
      <c r="N22" s="21">
        <f>IFERROR(M22/$M$43,0)</f>
        <v>0.18681034482758621</v>
      </c>
    </row>
    <row r="23" spans="1:17" x14ac:dyDescent="0.25">
      <c r="A23" s="195"/>
      <c r="G23" s="128"/>
      <c r="H23" s="26"/>
      <c r="I23" s="128"/>
      <c r="J23" s="26"/>
      <c r="K23" s="128"/>
      <c r="L23" s="26"/>
      <c r="M23" s="128"/>
      <c r="N23" s="26"/>
    </row>
    <row r="24" spans="1:17" ht="15.75" customHeight="1" x14ac:dyDescent="0.25">
      <c r="A24" s="195"/>
      <c r="B24" s="60" t="s">
        <v>39</v>
      </c>
      <c r="G24" s="125"/>
      <c r="H24" s="20"/>
      <c r="I24" s="125"/>
      <c r="J24" s="20"/>
      <c r="K24" s="125"/>
      <c r="L24" s="20"/>
      <c r="M24" s="125"/>
      <c r="N24" s="20"/>
      <c r="Q24" s="60"/>
    </row>
    <row r="25" spans="1:17" ht="15.75" customHeight="1" x14ac:dyDescent="0.25">
      <c r="A25" s="195"/>
      <c r="C25" s="60" t="s">
        <v>31</v>
      </c>
      <c r="E25" s="51">
        <v>0</v>
      </c>
      <c r="F25" s="21">
        <f t="shared" ref="F25" si="5">IFERROR(E25/$E$43,0)</f>
        <v>0</v>
      </c>
      <c r="G25" s="128">
        <f>'Core Calculations'!C59+E25</f>
        <v>2475000.0000000005</v>
      </c>
      <c r="H25" s="21">
        <f>IFERROR(G25/$G$43,0)</f>
        <v>0.41250000000000009</v>
      </c>
      <c r="I25" s="128">
        <f>'Core Calculations'!D59+E25</f>
        <v>2609062.5000000005</v>
      </c>
      <c r="J25" s="21">
        <f>IFERROR(I25/$I$43,0)</f>
        <v>0.40830399061032874</v>
      </c>
      <c r="K25" s="128">
        <f>'Core Calculations'!E59+E25</f>
        <v>2856562.5000000005</v>
      </c>
      <c r="L25" s="21">
        <f>IFERROR(K25/$K$43,0)</f>
        <v>0.40176687763713087</v>
      </c>
      <c r="M25" s="128">
        <f>'Core Calculations'!F59+E25</f>
        <v>3104062.5</v>
      </c>
      <c r="N25" s="21">
        <f>IFERROR(M25/$M$43,0)</f>
        <v>0.39643199233716475</v>
      </c>
      <c r="Q25" s="60"/>
    </row>
    <row r="26" spans="1:17" ht="15.75" hidden="1" customHeight="1" x14ac:dyDescent="0.25">
      <c r="A26" s="195"/>
      <c r="D26" s="19" t="s">
        <v>28</v>
      </c>
      <c r="F26" s="21"/>
      <c r="G26" s="153">
        <f>G25/'Key Business Variables'!$C$28</f>
        <v>26.052631578947373</v>
      </c>
      <c r="H26" s="21"/>
      <c r="I26" s="153">
        <f>I25/'Key Business Variables'!$C$28</f>
        <v>27.463815789473689</v>
      </c>
      <c r="J26" s="21"/>
      <c r="K26" s="153">
        <f>K25/'Key Business Variables'!$C$28</f>
        <v>30.069078947368425</v>
      </c>
      <c r="L26" s="21"/>
      <c r="M26" s="153">
        <f>M25/'Key Business Variables'!$C$28</f>
        <v>32.674342105263158</v>
      </c>
      <c r="N26" s="21"/>
      <c r="Q26" s="60"/>
    </row>
    <row r="27" spans="1:17" x14ac:dyDescent="0.25">
      <c r="A27" s="195"/>
      <c r="D27" s="47"/>
      <c r="E27" s="135"/>
      <c r="F27" s="47"/>
      <c r="G27" s="51"/>
      <c r="H27" s="21"/>
      <c r="I27" s="125"/>
      <c r="J27" s="21"/>
      <c r="K27" s="125"/>
      <c r="L27" s="21"/>
      <c r="M27" s="125"/>
      <c r="N27" s="21"/>
      <c r="Q27" s="60"/>
    </row>
    <row r="28" spans="1:17" x14ac:dyDescent="0.25">
      <c r="A28" s="195"/>
      <c r="B28" s="60" t="s">
        <v>40</v>
      </c>
      <c r="G28" s="125"/>
      <c r="H28" s="20"/>
      <c r="I28" s="125"/>
      <c r="J28" s="20"/>
      <c r="K28" s="125"/>
      <c r="L28" s="20"/>
      <c r="M28" s="125"/>
      <c r="N28" s="20"/>
      <c r="Q28" s="60"/>
    </row>
    <row r="29" spans="1:17" x14ac:dyDescent="0.25">
      <c r="A29" s="195"/>
      <c r="C29" s="60" t="s">
        <v>115</v>
      </c>
      <c r="E29" s="51">
        <v>0</v>
      </c>
      <c r="F29" s="21">
        <f t="shared" ref="F29:F31" si="6">IFERROR(E29/$E$43,0)</f>
        <v>0</v>
      </c>
      <c r="G29" s="129">
        <f>'Core Calculations'!C62+E29</f>
        <v>0</v>
      </c>
      <c r="H29" s="21">
        <f>IFERROR(G29/$G$43,0)</f>
        <v>0</v>
      </c>
      <c r="I29" s="129">
        <f>'Core Calculations'!D62+E29</f>
        <v>0</v>
      </c>
      <c r="J29" s="21">
        <f>IFERROR(I29/$I$43,0)</f>
        <v>0</v>
      </c>
      <c r="K29" s="129">
        <f>'Core Calculations'!E62+E29</f>
        <v>0</v>
      </c>
      <c r="L29" s="21">
        <f>IFERROR(K29/$K$43,0)</f>
        <v>0</v>
      </c>
      <c r="M29" s="129">
        <f>'Core Calculations'!F62+E29</f>
        <v>0</v>
      </c>
      <c r="N29" s="21">
        <f>IFERROR(M29/$M$43,0)</f>
        <v>0</v>
      </c>
      <c r="Q29" s="60"/>
    </row>
    <row r="30" spans="1:17" s="36" customFormat="1" x14ac:dyDescent="0.25">
      <c r="A30" s="195"/>
      <c r="C30" s="36" t="s">
        <v>109</v>
      </c>
      <c r="E30" s="37">
        <v>0</v>
      </c>
      <c r="F30" s="21">
        <f t="shared" si="6"/>
        <v>0</v>
      </c>
      <c r="G30" s="130">
        <f>'Core Calculations'!C66+E30</f>
        <v>0</v>
      </c>
      <c r="H30" s="21">
        <f>IFERROR(G30/$G$43,0)</f>
        <v>0</v>
      </c>
      <c r="I30" s="130">
        <f>'Core Calculations'!D66+E30</f>
        <v>0</v>
      </c>
      <c r="J30" s="21">
        <f>IFERROR(I30/$I$43,0)</f>
        <v>0</v>
      </c>
      <c r="K30" s="130">
        <f>'Core Calculations'!E66+E30</f>
        <v>0</v>
      </c>
      <c r="L30" s="21">
        <f>IFERROR(K30/$K$43,0)</f>
        <v>0</v>
      </c>
      <c r="M30" s="130">
        <f>'Core Calculations'!F66+E30</f>
        <v>0</v>
      </c>
      <c r="N30" s="21">
        <f>IFERROR(M30/$M$43,0)</f>
        <v>0</v>
      </c>
    </row>
    <row r="31" spans="1:17" x14ac:dyDescent="0.25">
      <c r="A31" s="195"/>
      <c r="C31" s="48" t="s">
        <v>37</v>
      </c>
      <c r="E31" s="124">
        <v>0</v>
      </c>
      <c r="F31" s="21">
        <f t="shared" si="6"/>
        <v>0</v>
      </c>
      <c r="G31" s="131">
        <f>'Core Calculations'!C64+E31</f>
        <v>0</v>
      </c>
      <c r="H31" s="21">
        <f>IFERROR(G31/$G$43,0)</f>
        <v>0</v>
      </c>
      <c r="I31" s="131">
        <f>'Core Calculations'!D64+E31</f>
        <v>0</v>
      </c>
      <c r="J31" s="21">
        <f>IFERROR(I31/$I$43,0)</f>
        <v>0</v>
      </c>
      <c r="K31" s="131">
        <f>'Core Calculations'!E64+E31</f>
        <v>0</v>
      </c>
      <c r="L31" s="21">
        <f>IFERROR(K31/$K$43,0)</f>
        <v>0</v>
      </c>
      <c r="M31" s="131">
        <f>'Core Calculations'!F64+E31</f>
        <v>0</v>
      </c>
      <c r="N31" s="21">
        <f>IFERROR(M31/$M$43,0)</f>
        <v>0</v>
      </c>
      <c r="Q31" s="60"/>
    </row>
    <row r="32" spans="1:17" x14ac:dyDescent="0.25">
      <c r="A32" s="195"/>
      <c r="D32" s="47" t="s">
        <v>20</v>
      </c>
      <c r="E32" s="125">
        <f>SUM(E29:E31)</f>
        <v>0</v>
      </c>
      <c r="F32" s="21">
        <f t="shared" ref="F32" si="7">IFERROR(E32/$E$43,0)</f>
        <v>0</v>
      </c>
      <c r="G32" s="125">
        <f>SUM(G29:G31)</f>
        <v>0</v>
      </c>
      <c r="H32" s="21">
        <f>IFERROR(G32/$G$43,0)</f>
        <v>0</v>
      </c>
      <c r="I32" s="125">
        <f>SUM(I29:I31)</f>
        <v>0</v>
      </c>
      <c r="J32" s="21">
        <f>IFERROR(I32/$I$43,0)</f>
        <v>0</v>
      </c>
      <c r="K32" s="125">
        <f>SUM(K29:K31)</f>
        <v>0</v>
      </c>
      <c r="L32" s="21">
        <f>IFERROR(K32/$K$43,0)</f>
        <v>0</v>
      </c>
      <c r="M32" s="125">
        <f>SUM(M29:M31)</f>
        <v>0</v>
      </c>
      <c r="N32" s="21">
        <f>IFERROR(M32/$M$43,0)</f>
        <v>0</v>
      </c>
      <c r="Q32" s="60"/>
    </row>
    <row r="33" spans="1:17" x14ac:dyDescent="0.25">
      <c r="A33" s="195"/>
      <c r="B33" s="60" t="s">
        <v>25</v>
      </c>
      <c r="G33" s="125"/>
      <c r="H33" s="20"/>
      <c r="I33" s="125"/>
      <c r="J33" s="20"/>
      <c r="K33" s="125"/>
      <c r="L33" s="20"/>
      <c r="M33" s="125"/>
      <c r="N33" s="20"/>
      <c r="Q33" s="60"/>
    </row>
    <row r="34" spans="1:17" x14ac:dyDescent="0.25">
      <c r="A34" s="195"/>
      <c r="C34" s="60" t="s">
        <v>32</v>
      </c>
      <c r="E34" s="51">
        <v>0</v>
      </c>
      <c r="F34" s="21">
        <f t="shared" ref="F34" si="8">IFERROR(E34/$E$43,0)</f>
        <v>0</v>
      </c>
      <c r="G34" s="125">
        <f>'Core Calculations'!C63+E34</f>
        <v>0</v>
      </c>
      <c r="H34" s="21">
        <f>IFERROR(G34/$G$43,0)</f>
        <v>0</v>
      </c>
      <c r="I34" s="125">
        <f>'Core Calculations'!D63+E34</f>
        <v>0</v>
      </c>
      <c r="J34" s="21">
        <f>IFERROR(I34/$I$43,0)</f>
        <v>0</v>
      </c>
      <c r="K34" s="125">
        <f>'Core Calculations'!E63+E34</f>
        <v>0</v>
      </c>
      <c r="L34" s="21">
        <f>IFERROR(K34/$K$43,0)</f>
        <v>0</v>
      </c>
      <c r="M34" s="125">
        <f>'Core Calculations'!F63+E34</f>
        <v>0</v>
      </c>
      <c r="N34" s="21">
        <f>IFERROR(M34/$M$43,0)</f>
        <v>0</v>
      </c>
      <c r="P34" s="54"/>
      <c r="Q34" s="60"/>
    </row>
    <row r="35" spans="1:17" hidden="1" x14ac:dyDescent="0.25">
      <c r="A35" s="195"/>
      <c r="D35" s="19" t="s">
        <v>28</v>
      </c>
      <c r="F35" s="21"/>
      <c r="G35" s="153">
        <f>G34/'Key Business Variables'!$C$29</f>
        <v>0</v>
      </c>
      <c r="H35" s="21"/>
      <c r="I35" s="153">
        <f>I34/'Key Business Variables'!$C$29</f>
        <v>0</v>
      </c>
      <c r="J35" s="21"/>
      <c r="K35" s="153">
        <f>K34/'Key Business Variables'!$C$29</f>
        <v>0</v>
      </c>
      <c r="L35" s="21"/>
      <c r="M35" s="153">
        <f>M34/'Key Business Variables'!$C$29</f>
        <v>0</v>
      </c>
      <c r="N35" s="21"/>
      <c r="P35" s="54"/>
      <c r="Q35" s="60"/>
    </row>
    <row r="36" spans="1:17" x14ac:dyDescent="0.25">
      <c r="A36" s="195"/>
      <c r="G36" s="52"/>
      <c r="H36" s="23"/>
      <c r="I36" s="52"/>
      <c r="J36" s="23"/>
      <c r="K36" s="52"/>
      <c r="L36" s="23"/>
      <c r="M36" s="52"/>
      <c r="N36" s="23"/>
      <c r="Q36" s="60"/>
    </row>
    <row r="37" spans="1:17" x14ac:dyDescent="0.25">
      <c r="G37" s="125"/>
      <c r="H37" s="20"/>
      <c r="I37" s="125"/>
      <c r="J37" s="20"/>
      <c r="K37" s="125"/>
      <c r="L37" s="20"/>
      <c r="M37" s="125"/>
      <c r="N37" s="20"/>
      <c r="Q37" s="60"/>
    </row>
    <row r="38" spans="1:17" ht="15.75" customHeight="1" x14ac:dyDescent="0.25">
      <c r="A38" s="195" t="s">
        <v>23</v>
      </c>
      <c r="B38" s="60" t="s">
        <v>12</v>
      </c>
      <c r="G38" s="128"/>
      <c r="H38" s="21"/>
      <c r="I38" s="128"/>
      <c r="J38" s="21"/>
      <c r="K38" s="128"/>
      <c r="L38" s="21"/>
      <c r="M38" s="128"/>
      <c r="N38" s="21"/>
      <c r="Q38" s="60"/>
    </row>
    <row r="39" spans="1:17" x14ac:dyDescent="0.25">
      <c r="A39" s="195"/>
      <c r="D39" s="60" t="s">
        <v>94</v>
      </c>
      <c r="E39" s="51">
        <v>0</v>
      </c>
      <c r="F39" s="21">
        <f t="shared" ref="F39:F40" si="9">IFERROR(E39/$E$43,0)</f>
        <v>0</v>
      </c>
      <c r="G39" s="130">
        <f>'Core Calculations'!C69</f>
        <v>1800000</v>
      </c>
      <c r="H39" s="21">
        <f>IFERROR(G39/$G$43,0)</f>
        <v>0.3</v>
      </c>
      <c r="I39" s="130">
        <f>'Core Calculations'!D69</f>
        <v>1597500</v>
      </c>
      <c r="J39" s="21">
        <f>IFERROR(I39/$I$43,0)</f>
        <v>0.25</v>
      </c>
      <c r="K39" s="130">
        <f>'Core Calculations'!E69</f>
        <v>1422000</v>
      </c>
      <c r="L39" s="21">
        <f>IFERROR(K39/$K$43,0)</f>
        <v>0.2</v>
      </c>
      <c r="M39" s="130">
        <f>'Core Calculations'!F69</f>
        <v>1174500</v>
      </c>
      <c r="N39" s="21">
        <f>IFERROR(M39/$M$43,0)</f>
        <v>0.15</v>
      </c>
      <c r="Q39" s="60"/>
    </row>
    <row r="40" spans="1:17" x14ac:dyDescent="0.25">
      <c r="A40" s="195"/>
      <c r="D40" s="60" t="s">
        <v>95</v>
      </c>
      <c r="E40" s="124">
        <v>0</v>
      </c>
      <c r="F40" s="21">
        <f t="shared" si="9"/>
        <v>0</v>
      </c>
      <c r="G40" s="126">
        <f>'Core Calculations'!C70+E40</f>
        <v>350000.00000000006</v>
      </c>
      <c r="H40" s="21">
        <f>IFERROR(G40/$G$43,0)</f>
        <v>5.8333333333333341E-2</v>
      </c>
      <c r="I40" s="126">
        <f>'Core Calculations'!D70+E40</f>
        <v>250000.00000000003</v>
      </c>
      <c r="J40" s="21">
        <f>IFERROR(I40/$I$43,0)</f>
        <v>3.912363067292645E-2</v>
      </c>
      <c r="K40" s="126">
        <f>'Core Calculations'!E70+E40</f>
        <v>199999.99999999997</v>
      </c>
      <c r="L40" s="21">
        <f>IFERROR(K40/$K$43,0)</f>
        <v>2.8129395218002808E-2</v>
      </c>
      <c r="M40" s="126">
        <f>'Core Calculations'!F70+E40</f>
        <v>199999.99999999997</v>
      </c>
      <c r="N40" s="21">
        <f>IFERROR(M40/$M$43,0)</f>
        <v>2.5542784163473813E-2</v>
      </c>
      <c r="Q40" s="60"/>
    </row>
    <row r="41" spans="1:17" x14ac:dyDescent="0.25">
      <c r="A41" s="195"/>
      <c r="D41" s="19" t="s">
        <v>13</v>
      </c>
      <c r="E41" s="51">
        <f>SUM(E39:E40)</f>
        <v>0</v>
      </c>
      <c r="F41" s="21">
        <f>IFERROR(E41/$E$43,0)</f>
        <v>0</v>
      </c>
      <c r="G41" s="51">
        <f>SUM(G39:G40)</f>
        <v>2150000</v>
      </c>
      <c r="H41" s="21">
        <f>IFERROR(G41/$G$43,0)</f>
        <v>0.35833333333333334</v>
      </c>
      <c r="I41" s="51">
        <f>SUM(I39:I40)</f>
        <v>1847500</v>
      </c>
      <c r="J41" s="21">
        <f>IFERROR(I41/$I$43,0)</f>
        <v>0.28912363067292646</v>
      </c>
      <c r="K41" s="51">
        <f>SUM(K39:K40)</f>
        <v>1622000</v>
      </c>
      <c r="L41" s="21">
        <f>IFERROR(K41/$K$43,0)</f>
        <v>0.22812939521800282</v>
      </c>
      <c r="M41" s="51">
        <f>SUM(M39:M40)</f>
        <v>1374500</v>
      </c>
      <c r="N41" s="21">
        <f>IFERROR(M41/$M$43,0)</f>
        <v>0.17554278416347383</v>
      </c>
      <c r="Q41" s="60"/>
    </row>
    <row r="42" spans="1:17" x14ac:dyDescent="0.25">
      <c r="G42" s="51"/>
      <c r="H42" s="26"/>
      <c r="I42" s="51"/>
      <c r="J42" s="26"/>
      <c r="K42" s="51"/>
      <c r="L42" s="26"/>
      <c r="M42" s="51"/>
      <c r="N42" s="26"/>
      <c r="Q42" s="60"/>
    </row>
    <row r="43" spans="1:17" x14ac:dyDescent="0.25">
      <c r="B43" s="60" t="s">
        <v>0</v>
      </c>
      <c r="E43" s="51">
        <f>E6+E9+E14+E16</f>
        <v>0</v>
      </c>
      <c r="G43" s="51">
        <f>G6+G9+G14+G16</f>
        <v>6000000</v>
      </c>
      <c r="I43" s="51">
        <f>I6+I9+I14+I16</f>
        <v>6390000</v>
      </c>
      <c r="K43" s="51">
        <f>K6+K9+K14+K16</f>
        <v>7110000</v>
      </c>
      <c r="M43" s="51">
        <f>M6+M9+M14+M16</f>
        <v>7830000</v>
      </c>
      <c r="N43" s="22"/>
      <c r="Q43" s="60"/>
    </row>
    <row r="44" spans="1:17" x14ac:dyDescent="0.25">
      <c r="B44" s="60" t="s">
        <v>1</v>
      </c>
      <c r="E44" s="51">
        <f>E41+E34+E32+E25+E22</f>
        <v>0</v>
      </c>
      <c r="G44" s="51">
        <f>G41+G34+G32+G25+G22</f>
        <v>5525000</v>
      </c>
      <c r="I44" s="51">
        <f>I41+I34+I32+I25+I22</f>
        <v>5476487.5</v>
      </c>
      <c r="K44" s="51">
        <f>K41+K34+K32+K25+K22</f>
        <v>5719887.5</v>
      </c>
      <c r="M44" s="51">
        <f>M41+M34+M32+M25+M22</f>
        <v>5941287.5</v>
      </c>
      <c r="N44" s="22"/>
      <c r="Q44" s="60"/>
    </row>
    <row r="45" spans="1:17" x14ac:dyDescent="0.25">
      <c r="G45" s="51"/>
      <c r="I45" s="51"/>
      <c r="K45" s="51"/>
      <c r="M45" s="51"/>
      <c r="Q45" s="60"/>
    </row>
    <row r="46" spans="1:17" x14ac:dyDescent="0.25">
      <c r="B46" s="60" t="s">
        <v>2</v>
      </c>
      <c r="E46" s="132">
        <f>E43-E44</f>
        <v>0</v>
      </c>
      <c r="F46" s="132"/>
      <c r="G46" s="132">
        <f>G43-G44</f>
        <v>475000</v>
      </c>
      <c r="H46" s="27"/>
      <c r="I46" s="132">
        <f>I43-I44</f>
        <v>913512.5</v>
      </c>
      <c r="J46" s="27"/>
      <c r="K46" s="132">
        <f>K43-K44</f>
        <v>1390112.5</v>
      </c>
      <c r="L46" s="27"/>
      <c r="M46" s="132">
        <f>M43-M44</f>
        <v>1888712.5</v>
      </c>
      <c r="Q46" s="60"/>
    </row>
    <row r="47" spans="1:17" x14ac:dyDescent="0.25">
      <c r="E47" s="22"/>
      <c r="G47" s="22"/>
    </row>
    <row r="48" spans="1:17" x14ac:dyDescent="0.25">
      <c r="B48" s="60" t="s">
        <v>3</v>
      </c>
      <c r="E48" s="28">
        <f>IFERROR(E46/E43,0)</f>
        <v>0</v>
      </c>
      <c r="F48" s="28"/>
      <c r="G48" s="28">
        <f>IFERROR(G46/G43,0)</f>
        <v>7.9166666666666663E-2</v>
      </c>
      <c r="H48" s="29"/>
      <c r="I48" s="28">
        <f>IFERROR(I46/I43,0)</f>
        <v>0.14295970266040689</v>
      </c>
      <c r="J48" s="29"/>
      <c r="K48" s="28">
        <f>IFERROR(K46/K43,0)</f>
        <v>0.19551511954992967</v>
      </c>
      <c r="L48" s="29"/>
      <c r="M48" s="28">
        <f>IFERROR(M46/M43,0)</f>
        <v>0.24121487867177521</v>
      </c>
    </row>
    <row r="49" spans="4:18" x14ac:dyDescent="0.25">
      <c r="I49" s="26"/>
      <c r="K49" s="26"/>
      <c r="M49" s="26"/>
      <c r="P49" s="17"/>
      <c r="Q49" s="30"/>
      <c r="R49" s="17"/>
    </row>
    <row r="50" spans="4:18" x14ac:dyDescent="0.25">
      <c r="D50" s="19" t="s">
        <v>81</v>
      </c>
      <c r="F50" s="19"/>
      <c r="G50" s="102">
        <f>IF(-MIN('Core Calculations'!C43:AX43)&gt;0,-MIN('Core Calculations'!C43:AX43),0)</f>
        <v>0</v>
      </c>
      <c r="H50" s="36"/>
      <c r="I50" s="76"/>
      <c r="K50" s="76"/>
      <c r="M50" s="76"/>
      <c r="N50" s="37"/>
      <c r="P50" s="17"/>
      <c r="Q50" s="30"/>
      <c r="R50" s="17"/>
    </row>
    <row r="51" spans="4:18" x14ac:dyDescent="0.25">
      <c r="D51" s="31"/>
      <c r="E51" s="136"/>
      <c r="F51" s="31"/>
      <c r="G51" s="51"/>
      <c r="I51" s="51"/>
      <c r="K51" s="51"/>
      <c r="M51" s="51"/>
      <c r="N51" s="37"/>
      <c r="P51" s="17"/>
      <c r="Q51" s="30"/>
      <c r="R51" s="17"/>
    </row>
    <row r="55" spans="4:18" hidden="1" x14ac:dyDescent="0.25">
      <c r="D55" s="19" t="s">
        <v>29</v>
      </c>
      <c r="E55" s="125"/>
      <c r="F55" s="19"/>
      <c r="G55" s="22" t="e">
        <f>#REF!+#REF!-#REF!</f>
        <v>#REF!</v>
      </c>
      <c r="I55" s="22" t="e">
        <f>#REF!+#REF!-#REF!</f>
        <v>#REF!</v>
      </c>
      <c r="K55" s="22" t="e">
        <f>#REF!+#REF!-#REF!</f>
        <v>#REF!</v>
      </c>
      <c r="M55" s="22" t="e">
        <f>#REF!+#REF!-#REF!</f>
        <v>#REF!</v>
      </c>
    </row>
    <row r="56" spans="4:18" hidden="1" x14ac:dyDescent="0.25">
      <c r="D56" s="19" t="s">
        <v>22</v>
      </c>
      <c r="E56" s="125"/>
      <c r="F56" s="19"/>
      <c r="G56" s="51" t="e">
        <f>#REF!+#REF!-#REF!</f>
        <v>#REF!</v>
      </c>
      <c r="I56" s="51" t="e">
        <f>#REF!+#REF!-#REF!</f>
        <v>#REF!</v>
      </c>
      <c r="K56" s="51" t="e">
        <f>#REF!+#REF!-#REF!</f>
        <v>#REF!</v>
      </c>
      <c r="M56" s="51" t="e">
        <f>#REF!+#REF!-#REF!</f>
        <v>#REF!</v>
      </c>
    </row>
    <row r="57" spans="4:18" hidden="1" x14ac:dyDescent="0.25"/>
    <row r="58" spans="4:18" hidden="1" x14ac:dyDescent="0.25"/>
    <row r="59" spans="4:18" hidden="1" x14ac:dyDescent="0.25">
      <c r="D59" s="19" t="s">
        <v>34</v>
      </c>
      <c r="E59" s="125"/>
      <c r="F59" s="19"/>
    </row>
    <row r="60" spans="4:18" hidden="1" x14ac:dyDescent="0.25">
      <c r="D60" s="19" t="s">
        <v>35</v>
      </c>
      <c r="E60" s="125"/>
      <c r="F60" s="19"/>
    </row>
    <row r="61" spans="4:18" hidden="1" x14ac:dyDescent="0.25">
      <c r="D61" s="19" t="s">
        <v>36</v>
      </c>
      <c r="E61" s="125"/>
      <c r="F61" s="19"/>
    </row>
    <row r="62" spans="4:18" hidden="1" x14ac:dyDescent="0.25">
      <c r="D62" s="19" t="s">
        <v>24</v>
      </c>
      <c r="E62" s="125"/>
      <c r="F62" s="19"/>
    </row>
    <row r="63" spans="4:18" hidden="1" x14ac:dyDescent="0.25">
      <c r="D63" s="19" t="s">
        <v>33</v>
      </c>
      <c r="E63" s="125"/>
      <c r="F63" s="19"/>
    </row>
    <row r="64" spans="4:18" hidden="1" x14ac:dyDescent="0.25"/>
    <row r="65" spans="4:13" hidden="1" x14ac:dyDescent="0.25"/>
    <row r="66" spans="4:13" hidden="1" x14ac:dyDescent="0.25">
      <c r="D66" s="19" t="s">
        <v>66</v>
      </c>
      <c r="E66" s="125"/>
      <c r="F66" s="19"/>
    </row>
    <row r="67" spans="4:13" hidden="1" x14ac:dyDescent="0.25">
      <c r="D67" s="19" t="s">
        <v>67</v>
      </c>
      <c r="E67" s="125"/>
      <c r="F67" s="19"/>
    </row>
    <row r="68" spans="4:13" hidden="1" x14ac:dyDescent="0.25"/>
    <row r="69" spans="4:13" hidden="1" x14ac:dyDescent="0.25">
      <c r="D69" s="19" t="s">
        <v>68</v>
      </c>
      <c r="E69" s="125"/>
      <c r="F69" s="19"/>
    </row>
    <row r="70" spans="4:13" hidden="1" x14ac:dyDescent="0.25">
      <c r="D70" s="19" t="s">
        <v>69</v>
      </c>
      <c r="E70" s="125"/>
      <c r="F70" s="19"/>
    </row>
    <row r="71" spans="4:13" hidden="1" x14ac:dyDescent="0.25"/>
    <row r="72" spans="4:13" hidden="1" x14ac:dyDescent="0.25">
      <c r="D72" s="19" t="s">
        <v>70</v>
      </c>
      <c r="E72" s="125"/>
      <c r="F72" s="19"/>
    </row>
    <row r="73" spans="4:13" hidden="1" x14ac:dyDescent="0.25"/>
    <row r="74" spans="4:13" hidden="1" x14ac:dyDescent="0.25">
      <c r="G74" s="22" t="e">
        <f>#REF!+#REF!+(#REF!/2)</f>
        <v>#REF!</v>
      </c>
      <c r="I74" s="22" t="e">
        <f>#REF!+#REF!+(#REF!)</f>
        <v>#REF!</v>
      </c>
      <c r="K74" s="22" t="e">
        <f>#REF!+#REF!+(#REF!)</f>
        <v>#REF!</v>
      </c>
      <c r="M74" s="22" t="e">
        <f>#REF!+#REF!+(#REF!)</f>
        <v>#REF!</v>
      </c>
    </row>
    <row r="75" spans="4:13" hidden="1" x14ac:dyDescent="0.25"/>
    <row r="76" spans="4:13" hidden="1" x14ac:dyDescent="0.25">
      <c r="D76" s="19" t="s">
        <v>61</v>
      </c>
      <c r="E76" s="125"/>
      <c r="F76" s="19"/>
      <c r="G76" s="22" t="e">
        <f>G6+#REF!</f>
        <v>#REF!</v>
      </c>
      <c r="H76" s="22"/>
      <c r="I76" s="22" t="e">
        <f>I6+#REF!</f>
        <v>#REF!</v>
      </c>
      <c r="J76" s="22"/>
      <c r="K76" s="22" t="e">
        <f>K6+#REF!</f>
        <v>#REF!</v>
      </c>
      <c r="L76" s="22"/>
      <c r="M76" s="22" t="e">
        <f>M6+#REF!</f>
        <v>#REF!</v>
      </c>
    </row>
    <row r="77" spans="4:13" hidden="1" x14ac:dyDescent="0.25">
      <c r="D77" s="19" t="s">
        <v>27</v>
      </c>
      <c r="E77" s="125"/>
      <c r="F77" s="19"/>
      <c r="G77" s="51" t="e">
        <f>G14+#REF!</f>
        <v>#REF!</v>
      </c>
      <c r="H77" s="51"/>
      <c r="I77" s="51" t="e">
        <f>I14+#REF!</f>
        <v>#REF!</v>
      </c>
      <c r="J77" s="51"/>
      <c r="K77" s="51" t="e">
        <f>K14+#REF!</f>
        <v>#REF!</v>
      </c>
      <c r="L77" s="51"/>
      <c r="M77" s="51" t="e">
        <f>M14+#REF!</f>
        <v>#REF!</v>
      </c>
    </row>
    <row r="78" spans="4:13" hidden="1" x14ac:dyDescent="0.25"/>
    <row r="79" spans="4:13" hidden="1" x14ac:dyDescent="0.25">
      <c r="D79" s="19" t="s">
        <v>61</v>
      </c>
      <c r="E79" s="125"/>
      <c r="F79" s="19"/>
      <c r="G79" s="22" t="e">
        <f>G22+#REF!</f>
        <v>#REF!</v>
      </c>
      <c r="I79" s="22" t="e">
        <f>I22+#REF!</f>
        <v>#REF!</v>
      </c>
      <c r="K79" s="22" t="e">
        <f>K22+#REF!</f>
        <v>#REF!</v>
      </c>
      <c r="M79" s="22" t="e">
        <f>M22+#REF!</f>
        <v>#REF!</v>
      </c>
    </row>
    <row r="80" spans="4:13" hidden="1" x14ac:dyDescent="0.25">
      <c r="D80" s="19" t="s">
        <v>27</v>
      </c>
      <c r="E80" s="125"/>
      <c r="F80" s="19"/>
      <c r="G80" s="51" t="e">
        <f>G32+#REF!</f>
        <v>#REF!</v>
      </c>
      <c r="I80" s="51" t="e">
        <f>I32+#REF!</f>
        <v>#REF!</v>
      </c>
      <c r="K80" s="51" t="e">
        <f>K32+#REF!</f>
        <v>#REF!</v>
      </c>
      <c r="M80" s="51" t="e">
        <f>M32+#REF!</f>
        <v>#REF!</v>
      </c>
    </row>
    <row r="81" spans="4:13" hidden="1" x14ac:dyDescent="0.25"/>
    <row r="82" spans="4:13" hidden="1" x14ac:dyDescent="0.25"/>
    <row r="83" spans="4:13" hidden="1" x14ac:dyDescent="0.25">
      <c r="D83" s="19" t="s">
        <v>80</v>
      </c>
      <c r="E83" s="125"/>
      <c r="F83" s="19"/>
      <c r="G83" s="22" t="e">
        <f>G76+G77-G79-G80</f>
        <v>#REF!</v>
      </c>
      <c r="I83" s="22" t="e">
        <f>I76+I77-I79-I80</f>
        <v>#REF!</v>
      </c>
      <c r="K83" s="22" t="e">
        <f>K76+K77-K79-K80</f>
        <v>#REF!</v>
      </c>
      <c r="M83" s="22" t="e">
        <f>M76+M77-M79-M80</f>
        <v>#REF!</v>
      </c>
    </row>
    <row r="89" spans="4:13" hidden="1" x14ac:dyDescent="0.25">
      <c r="J89" s="72" t="s">
        <v>75</v>
      </c>
      <c r="K89" s="72" t="s">
        <v>76</v>
      </c>
      <c r="L89" s="72" t="s">
        <v>77</v>
      </c>
      <c r="M89" s="25"/>
    </row>
    <row r="90" spans="4:13" hidden="1" x14ac:dyDescent="0.25">
      <c r="J90" s="72" t="s">
        <v>18</v>
      </c>
      <c r="K90" s="71">
        <f>G43*0.82</f>
        <v>4920000</v>
      </c>
      <c r="L90" s="71">
        <f>G43*0.18</f>
        <v>1080000</v>
      </c>
      <c r="M90" s="25"/>
    </row>
    <row r="91" spans="4:13" hidden="1" x14ac:dyDescent="0.25">
      <c r="J91" s="72" t="s">
        <v>19</v>
      </c>
      <c r="K91" s="71" t="e">
        <f>K90+#REF!</f>
        <v>#REF!</v>
      </c>
      <c r="L91" s="71">
        <f>L90+M14</f>
        <v>1080000</v>
      </c>
    </row>
    <row r="92" spans="4:13" hidden="1" x14ac:dyDescent="0.25"/>
    <row r="93" spans="4:13" hidden="1" x14ac:dyDescent="0.25">
      <c r="K93" s="22">
        <v>3167250</v>
      </c>
      <c r="L93" s="22">
        <v>695250</v>
      </c>
      <c r="M93" s="22">
        <f>SUM(K93:L93)</f>
        <v>3862500</v>
      </c>
    </row>
    <row r="94" spans="4:13" hidden="1" x14ac:dyDescent="0.25">
      <c r="J94" s="21"/>
      <c r="K94" s="24">
        <v>3209750</v>
      </c>
      <c r="L94" s="24">
        <v>1524427.734375</v>
      </c>
      <c r="M94" s="22">
        <f>SUM(K94:L94)</f>
        <v>4734177.734375</v>
      </c>
    </row>
    <row r="95" spans="4:13" hidden="1" x14ac:dyDescent="0.25">
      <c r="J95" s="21"/>
      <c r="K95" s="21"/>
      <c r="L95" s="21"/>
      <c r="M95" s="21"/>
    </row>
    <row r="96" spans="4:13" hidden="1" x14ac:dyDescent="0.25">
      <c r="J96" s="21"/>
      <c r="K96" s="21">
        <f>K93/M93</f>
        <v>0.82</v>
      </c>
      <c r="L96" s="21">
        <f>L93/M93</f>
        <v>0.18</v>
      </c>
      <c r="M96" s="21"/>
    </row>
    <row r="97" spans="10:13" hidden="1" x14ac:dyDescent="0.25">
      <c r="J97" s="21"/>
      <c r="K97" s="21">
        <f>K94/M94</f>
        <v>0.67799524650160758</v>
      </c>
      <c r="L97" s="21">
        <f>L94/M94</f>
        <v>0.32200475349839247</v>
      </c>
      <c r="M97" s="21"/>
    </row>
  </sheetData>
  <sheetProtection algorithmName="SHA-512" hashValue="p55F/PQhWDv2ZzEneFMjBhhrGhO56MA87j57dF1iwWmx8IDfM97EC8WQCSnFmr8D4gFAeUj43KtIZl/a5b4pCw==" saltValue="mtg4A+IGQd0C/kVe0YCLgQ==" spinCount="100000" sheet="1" objects="1" scenarios="1"/>
  <mergeCells count="8">
    <mergeCell ref="K1:L1"/>
    <mergeCell ref="M1:N1"/>
    <mergeCell ref="A38:A41"/>
    <mergeCell ref="G1:H1"/>
    <mergeCell ref="I1:J1"/>
    <mergeCell ref="A3:A17"/>
    <mergeCell ref="A19:A36"/>
    <mergeCell ref="E1:F1"/>
  </mergeCells>
  <pageMargins left="0.7" right="0.7" top="0.75" bottom="0.75" header="0.3" footer="0.3"/>
  <pageSetup scale="48" orientation="landscape" r:id="rId1"/>
  <ignoredErrors>
    <ignoredError sqref="G37 G24 G45:M46 G41 G33 H43:H44 J43:J44 L43:L44 H47:M47 H48 J48 L48 G6:M8 G14:L14 M22 K22 I22 H23:M24 H25 H27:M28 H21:H22 J25 L25 J21:J22 L21:L22 H31 H34 M41 K41 I41 H36:M38 H32:M33 H9 J9 L9 J31 L31 J34 L34 H39:H41 J39:J41 L39:L41 F36:F41 F4:F25 F27:F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5:AX52"/>
  <sheetViews>
    <sheetView showGridLines="0" zoomScale="70" zoomScaleNormal="70" workbookViewId="0">
      <selection activeCell="AA30" sqref="AA30"/>
    </sheetView>
  </sheetViews>
  <sheetFormatPr defaultRowHeight="15" x14ac:dyDescent="0.25"/>
  <cols>
    <col min="7" max="7" width="13.140625" customWidth="1"/>
  </cols>
  <sheetData>
    <row r="35" spans="6:7" x14ac:dyDescent="0.25">
      <c r="F35" s="19" t="s">
        <v>81</v>
      </c>
      <c r="G35" s="1">
        <f>'P&amp;L Detail'!G50</f>
        <v>0</v>
      </c>
    </row>
    <row r="37" spans="6:7" s="72" customFormat="1" x14ac:dyDescent="0.25"/>
    <row r="38" spans="6:7" s="72" customFormat="1" x14ac:dyDescent="0.25"/>
    <row r="39" spans="6:7" s="72" customFormat="1" x14ac:dyDescent="0.25"/>
    <row r="40" spans="6:7" s="72" customFormat="1" x14ac:dyDescent="0.25"/>
    <row r="41" spans="6:7" s="72" customFormat="1" x14ac:dyDescent="0.25"/>
    <row r="42" spans="6:7" s="72" customFormat="1" x14ac:dyDescent="0.25"/>
    <row r="43" spans="6:7" s="72" customFormat="1" x14ac:dyDescent="0.25"/>
    <row r="52" spans="2:50" x14ac:dyDescent="0.25">
      <c r="B52" s="2" t="str">
        <f>'Core Calculations'!A43</f>
        <v>Monthly Cumulative Cash Flow</v>
      </c>
      <c r="C52" s="1">
        <f>'Core Calculations'!C43</f>
        <v>39583.333333333314</v>
      </c>
      <c r="D52" s="1">
        <f>'Core Calculations'!D43</f>
        <v>79166.666666666628</v>
      </c>
      <c r="E52" s="1">
        <f>'Core Calculations'!E43</f>
        <v>118749.99999999994</v>
      </c>
      <c r="F52" s="1">
        <f>'Core Calculations'!F43</f>
        <v>158333.33333333326</v>
      </c>
      <c r="G52" s="1">
        <f>'Core Calculations'!G43</f>
        <v>197916.66666666657</v>
      </c>
      <c r="H52" s="1">
        <f>'Core Calculations'!H43</f>
        <v>237499.99999999988</v>
      </c>
      <c r="I52" s="1">
        <f>'Core Calculations'!I43</f>
        <v>277083.3333333332</v>
      </c>
      <c r="J52" s="1">
        <f>'Core Calculations'!J43</f>
        <v>316666.66666666651</v>
      </c>
      <c r="K52" s="1">
        <f>'Core Calculations'!K43</f>
        <v>356249.99999999983</v>
      </c>
      <c r="L52" s="1">
        <f>'Core Calculations'!L43</f>
        <v>395833.33333333314</v>
      </c>
      <c r="M52" s="1">
        <f>'Core Calculations'!M43</f>
        <v>435416.66666666645</v>
      </c>
      <c r="N52" s="1">
        <f>'Core Calculations'!N43</f>
        <v>474999.99999999977</v>
      </c>
      <c r="O52" s="1">
        <f>'Core Calculations'!O43</f>
        <v>541535.41666666651</v>
      </c>
      <c r="P52" s="1">
        <f>'Core Calculations'!P43</f>
        <v>609814.58333333326</v>
      </c>
      <c r="Q52" s="1">
        <f>'Core Calculations'!Q43</f>
        <v>679837.5</v>
      </c>
      <c r="R52" s="1">
        <f>'Core Calculations'!R43</f>
        <v>751604.16666666674</v>
      </c>
      <c r="S52" s="1">
        <f>'Core Calculations'!S43</f>
        <v>825114.58333333349</v>
      </c>
      <c r="T52" s="1">
        <f>'Core Calculations'!T43</f>
        <v>900368.75000000023</v>
      </c>
      <c r="U52" s="1">
        <f>'Core Calculations'!U43</f>
        <v>977366.66666666698</v>
      </c>
      <c r="V52" s="1">
        <f>'Core Calculations'!V43</f>
        <v>1056108.3333333337</v>
      </c>
      <c r="W52" s="1">
        <f>'Core Calculations'!W43</f>
        <v>1136593.7500000005</v>
      </c>
      <c r="X52" s="1">
        <f>'Core Calculations'!X43</f>
        <v>1218822.9166666672</v>
      </c>
      <c r="Y52" s="1">
        <f>'Core Calculations'!Y43</f>
        <v>1302795.833333334</v>
      </c>
      <c r="Z52" s="1">
        <f>'Core Calculations'!Z43</f>
        <v>1388512.5000000007</v>
      </c>
      <c r="AA52" s="1">
        <f>'Core Calculations'!AA43</f>
        <v>1494764.583333334</v>
      </c>
      <c r="AB52" s="1">
        <f>'Core Calculations'!AB43</f>
        <v>1602760.4166666672</v>
      </c>
      <c r="AC52" s="1">
        <f>'Core Calculations'!AC43</f>
        <v>1712500.0000000005</v>
      </c>
      <c r="AD52" s="1">
        <f>'Core Calculations'!AD43</f>
        <v>1823983.3333333337</v>
      </c>
      <c r="AE52" s="1">
        <f>'Core Calculations'!AE43</f>
        <v>1937210.416666667</v>
      </c>
      <c r="AF52" s="1">
        <f>'Core Calculations'!AF43</f>
        <v>2052181.2500000002</v>
      </c>
      <c r="AG52" s="1">
        <f>'Core Calculations'!AG43</f>
        <v>2168895.8333333335</v>
      </c>
      <c r="AH52" s="1">
        <f>'Core Calculations'!AH43</f>
        <v>2287354.166666667</v>
      </c>
      <c r="AI52" s="1">
        <f>'Core Calculations'!AI43</f>
        <v>2407556.2500000005</v>
      </c>
      <c r="AJ52" s="1">
        <f>'Core Calculations'!AJ43</f>
        <v>2529502.083333334</v>
      </c>
      <c r="AK52" s="1">
        <f>'Core Calculations'!AK43</f>
        <v>2653191.6666666674</v>
      </c>
      <c r="AL52" s="1">
        <f>'Core Calculations'!AL43</f>
        <v>2778625.0000000009</v>
      </c>
      <c r="AM52" s="1">
        <f>'Core Calculations'!AM43</f>
        <v>2926427.0833333344</v>
      </c>
      <c r="AN52" s="1">
        <f>'Core Calculations'!AN43</f>
        <v>3075972.9166666679</v>
      </c>
      <c r="AO52" s="1">
        <f>'Core Calculations'!AO43</f>
        <v>3227262.5000000014</v>
      </c>
      <c r="AP52" s="1">
        <f>'Core Calculations'!AP43</f>
        <v>3380295.8333333349</v>
      </c>
      <c r="AQ52" s="1">
        <f>'Core Calculations'!AQ43</f>
        <v>3535072.9166666684</v>
      </c>
      <c r="AR52" s="1">
        <f>'Core Calculations'!AR43</f>
        <v>3691593.7500000019</v>
      </c>
      <c r="AS52" s="1">
        <f>'Core Calculations'!AS43</f>
        <v>3849858.3333333349</v>
      </c>
      <c r="AT52" s="1">
        <f>'Core Calculations'!AT43</f>
        <v>4009866.6666666679</v>
      </c>
      <c r="AU52" s="1">
        <f>'Core Calculations'!AU43</f>
        <v>4171618.7500000009</v>
      </c>
      <c r="AV52" s="1">
        <f>'Core Calculations'!AV43</f>
        <v>4335114.583333334</v>
      </c>
      <c r="AW52" s="1">
        <f>'Core Calculations'!AW43</f>
        <v>4500354.166666667</v>
      </c>
      <c r="AX52" s="1">
        <f>'Core Calculations'!AX43</f>
        <v>4667337.5</v>
      </c>
    </row>
  </sheetData>
  <sheetProtection algorithmName="SHA-512" hashValue="t30FMSF4a0TH4SvijqgU5ioT9DvU7Mvxdu7U7tJ8bfYVhQUmZinr3g67I3Ga7iPOSpy4OroUX7F8RtwNiKRqSQ==" saltValue="iT7hSPVK+L3xpL9YcMYs3g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F42"/>
  <sheetViews>
    <sheetView showGridLines="0" zoomScale="80" zoomScaleNormal="80" workbookViewId="0">
      <selection activeCell="A40" sqref="A40:XFD42"/>
    </sheetView>
  </sheetViews>
  <sheetFormatPr defaultRowHeight="15" x14ac:dyDescent="0.25"/>
  <cols>
    <col min="2" max="2" width="23.5703125" bestFit="1" customWidth="1"/>
    <col min="3" max="7" width="12.7109375" customWidth="1"/>
  </cols>
  <sheetData>
    <row r="35" spans="2:6" x14ac:dyDescent="0.25">
      <c r="C35">
        <v>1</v>
      </c>
      <c r="D35">
        <v>2</v>
      </c>
      <c r="E35">
        <v>3</v>
      </c>
      <c r="F35">
        <v>4</v>
      </c>
    </row>
    <row r="36" spans="2:6" x14ac:dyDescent="0.25">
      <c r="B36" t="s">
        <v>30</v>
      </c>
      <c r="C36" s="46">
        <f>'P&amp;L Detail'!G26</f>
        <v>26.052631578947373</v>
      </c>
      <c r="D36" s="46">
        <f>'P&amp;L Detail'!I26</f>
        <v>27.463815789473689</v>
      </c>
      <c r="E36" s="46">
        <f>'P&amp;L Detail'!K26</f>
        <v>30.069078947368425</v>
      </c>
      <c r="F36" s="46">
        <f>'P&amp;L Detail'!M26</f>
        <v>32.674342105263158</v>
      </c>
    </row>
    <row r="37" spans="2:6" x14ac:dyDescent="0.25">
      <c r="B37" t="s">
        <v>27</v>
      </c>
      <c r="C37" s="46">
        <f>'P&amp;L Detail'!G35</f>
        <v>0</v>
      </c>
      <c r="D37" s="46">
        <f>'P&amp;L Detail'!I35</f>
        <v>0</v>
      </c>
      <c r="E37" s="46">
        <f>'P&amp;L Detail'!K35</f>
        <v>0</v>
      </c>
      <c r="F37" s="46">
        <f>'P&amp;L Detail'!M35</f>
        <v>0</v>
      </c>
    </row>
    <row r="40" spans="2:6" x14ac:dyDescent="0.25">
      <c r="C40">
        <v>1</v>
      </c>
      <c r="D40">
        <v>2</v>
      </c>
      <c r="E40">
        <v>3</v>
      </c>
      <c r="F40">
        <v>4</v>
      </c>
    </row>
    <row r="41" spans="2:6" x14ac:dyDescent="0.25">
      <c r="B41" t="s">
        <v>30</v>
      </c>
      <c r="C41" s="1">
        <f>IFERROR('P&amp;L Detail'!G9/Resourcing!C36,0)</f>
        <v>172727.27272727271</v>
      </c>
      <c r="D41" s="1">
        <f>IFERROR('P&amp;L Detail'!I9/Resourcing!D36,0)</f>
        <v>172727.27272727271</v>
      </c>
      <c r="E41" s="1">
        <f>IFERROR('P&amp;L Detail'!K9/Resourcing!E36,0)</f>
        <v>172727.27272727271</v>
      </c>
      <c r="F41" s="1">
        <f>IFERROR('P&amp;L Detail'!M9/Resourcing!F36,0)</f>
        <v>172727.27272727274</v>
      </c>
    </row>
    <row r="42" spans="2:6" x14ac:dyDescent="0.25">
      <c r="B42" t="s">
        <v>27</v>
      </c>
      <c r="C42" s="1">
        <f>IFERROR('P&amp;L Detail'!G16/C37,0)</f>
        <v>0</v>
      </c>
      <c r="D42" s="1">
        <f>IFERROR('P&amp;L Detail'!I16/D37,0)</f>
        <v>0</v>
      </c>
      <c r="E42" s="1">
        <f>IFERROR('P&amp;L Detail'!K16/E37,0)</f>
        <v>0</v>
      </c>
      <c r="F42" s="1">
        <f>IFERROR('P&amp;L Detail'!M16/F37,0)</f>
        <v>0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5:F55"/>
  <sheetViews>
    <sheetView showGridLines="0" zoomScale="70" zoomScaleNormal="70" workbookViewId="0">
      <selection activeCell="B54" sqref="B54"/>
    </sheetView>
  </sheetViews>
  <sheetFormatPr defaultRowHeight="15" x14ac:dyDescent="0.25"/>
  <cols>
    <col min="2" max="2" width="30" customWidth="1"/>
  </cols>
  <sheetData>
    <row r="25" spans="4:4" x14ac:dyDescent="0.25">
      <c r="D25" s="46"/>
    </row>
    <row r="27" spans="4:4" s="40" customFormat="1" x14ac:dyDescent="0.25"/>
    <row r="33" s="72" customFormat="1" x14ac:dyDescent="0.25"/>
    <row r="34" s="72" customFormat="1" x14ac:dyDescent="0.25"/>
    <row r="35" s="72" customFormat="1" x14ac:dyDescent="0.25"/>
    <row r="36" s="72" customFormat="1" x14ac:dyDescent="0.25"/>
    <row r="37" s="72" customFormat="1" x14ac:dyDescent="0.25"/>
    <row r="38" s="72" customFormat="1" x14ac:dyDescent="0.25"/>
    <row r="39" s="72" customFormat="1" x14ac:dyDescent="0.25"/>
    <row r="40" s="72" customFormat="1" x14ac:dyDescent="0.25"/>
    <row r="41" s="72" customFormat="1" x14ac:dyDescent="0.25"/>
    <row r="42" s="72" customFormat="1" x14ac:dyDescent="0.25"/>
    <row r="43" s="72" customFormat="1" x14ac:dyDescent="0.25"/>
    <row r="44" s="72" customFormat="1" x14ac:dyDescent="0.25"/>
    <row r="45" s="72" customFormat="1" x14ac:dyDescent="0.25"/>
    <row r="46" s="72" customFormat="1" x14ac:dyDescent="0.25"/>
    <row r="47" s="72" customFormat="1" x14ac:dyDescent="0.25"/>
    <row r="48" s="72" customFormat="1" x14ac:dyDescent="0.25"/>
    <row r="53" spans="2:6" x14ac:dyDescent="0.25">
      <c r="C53">
        <v>1</v>
      </c>
      <c r="D53">
        <v>2</v>
      </c>
      <c r="E53">
        <v>3</v>
      </c>
      <c r="F53">
        <v>4</v>
      </c>
    </row>
    <row r="54" spans="2:6" x14ac:dyDescent="0.25">
      <c r="B54" t="s">
        <v>132</v>
      </c>
      <c r="C54" s="38">
        <f>'Core Calculations'!N10</f>
        <v>0</v>
      </c>
      <c r="D54" s="38">
        <f>'Core Calculations'!Z10</f>
        <v>0</v>
      </c>
      <c r="E54" s="38">
        <f>'Core Calculations'!AL10</f>
        <v>0</v>
      </c>
      <c r="F54" s="38">
        <f>'Core Calculations'!AX10</f>
        <v>0</v>
      </c>
    </row>
    <row r="55" spans="2:6" x14ac:dyDescent="0.25">
      <c r="B55" t="s">
        <v>65</v>
      </c>
      <c r="C55" s="38">
        <f>'Core Calculations'!N16</f>
        <v>0</v>
      </c>
      <c r="D55" s="38">
        <f>'Core Calculations'!Z16</f>
        <v>0</v>
      </c>
      <c r="E55" s="38">
        <f>'Core Calculations'!AL16</f>
        <v>0</v>
      </c>
      <c r="F55" s="38">
        <f>'Core Calculations'!AX16</f>
        <v>0</v>
      </c>
    </row>
  </sheetData>
  <sheetProtection algorithmName="SHA-512" hashValue="EGGN6HVl9Q2kBQv5WSvMOZOK/sP9aoruQXT9N35TNzxBvrH26U0t92Ljpo+sBDruzi0Pxzh7RMiUsd3TEk7bCA==" saltValue="ZAMzuUgniqh8t5xPiBUqbw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X77"/>
  <sheetViews>
    <sheetView showGridLines="0" zoomScale="80" zoomScaleNormal="80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A2" sqref="A2:XFD76"/>
    </sheetView>
  </sheetViews>
  <sheetFormatPr defaultColWidth="9.140625" defaultRowHeight="15" x14ac:dyDescent="0.25"/>
  <cols>
    <col min="1" max="1" width="77.85546875" style="3" customWidth="1"/>
    <col min="2" max="50" width="12.7109375" style="3" customWidth="1"/>
    <col min="51" max="51" width="10.85546875" style="3" bestFit="1" customWidth="1"/>
    <col min="52" max="16384" width="9.140625" style="3"/>
  </cols>
  <sheetData>
    <row r="1" spans="1:50" ht="18.75" x14ac:dyDescent="0.3">
      <c r="C1" s="196" t="s">
        <v>15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</row>
    <row r="2" spans="1:50" hidden="1" x14ac:dyDescent="0.25">
      <c r="A2" s="3" t="s">
        <v>15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">
        <v>40</v>
      </c>
      <c r="AQ2" s="4">
        <v>41</v>
      </c>
      <c r="AR2" s="4">
        <v>42</v>
      </c>
      <c r="AS2" s="4">
        <v>43</v>
      </c>
      <c r="AT2" s="4">
        <v>44</v>
      </c>
      <c r="AU2" s="4">
        <v>45</v>
      </c>
      <c r="AV2" s="4">
        <v>46</v>
      </c>
      <c r="AW2" s="4">
        <v>47</v>
      </c>
      <c r="AX2" s="4">
        <v>48</v>
      </c>
    </row>
    <row r="3" spans="1:50" hidden="1" x14ac:dyDescent="0.25"/>
    <row r="4" spans="1:50" hidden="1" x14ac:dyDescent="0.25">
      <c r="A4" s="3" t="s">
        <v>44</v>
      </c>
      <c r="C4" s="8">
        <f>'Key Business Variables'!$F$3/12*(1-'Key Business Variables'!$C$33/100)</f>
        <v>0.41666666666666669</v>
      </c>
      <c r="D4" s="8">
        <f>'Key Business Variables'!$F$3/12*(1-'Key Business Variables'!$C$33/100)</f>
        <v>0.41666666666666669</v>
      </c>
      <c r="E4" s="8">
        <f>'Key Business Variables'!$F$3/12*(1-'Key Business Variables'!$C$33/100)</f>
        <v>0.41666666666666669</v>
      </c>
      <c r="F4" s="7">
        <f>'Key Business Variables'!$F$3/12*(1-'Key Business Variables'!$C$33/100)</f>
        <v>0.41666666666666669</v>
      </c>
      <c r="G4" s="7">
        <f>'Key Business Variables'!$F$3/12*(1-'Key Business Variables'!$C$33/100)</f>
        <v>0.41666666666666669</v>
      </c>
      <c r="H4" s="7">
        <f>'Key Business Variables'!$F$3/12*(1-'Key Business Variables'!$C$33/100)</f>
        <v>0.41666666666666669</v>
      </c>
      <c r="I4" s="7">
        <f>'Key Business Variables'!$F$3/12*(1-'Key Business Variables'!$C$33/100)</f>
        <v>0.41666666666666669</v>
      </c>
      <c r="J4" s="7">
        <f>'Key Business Variables'!$F$3/12*(1-'Key Business Variables'!$C$33/100)</f>
        <v>0.41666666666666669</v>
      </c>
      <c r="K4" s="7">
        <f>'Key Business Variables'!$F$3/12*(1-'Key Business Variables'!$C$33/100)</f>
        <v>0.41666666666666669</v>
      </c>
      <c r="L4" s="7">
        <f>'Key Business Variables'!$F$3/12*(1-'Key Business Variables'!$C$33/100)</f>
        <v>0.41666666666666669</v>
      </c>
      <c r="M4" s="7">
        <f>'Key Business Variables'!$F$3/12*(1-'Key Business Variables'!$C$33/100)</f>
        <v>0.41666666666666669</v>
      </c>
      <c r="N4" s="7">
        <f>'Key Business Variables'!$F$3/12*(1-'Key Business Variables'!$C$33/100)</f>
        <v>0.41666666666666669</v>
      </c>
      <c r="O4" s="7">
        <f>'Key Business Variables'!$G$3/12*(1-'Key Business Variables'!$C$33/100)</f>
        <v>0.41666666666666669</v>
      </c>
      <c r="P4" s="7">
        <f>'Key Business Variables'!$G$3/12*(1-'Key Business Variables'!$C$33/100)</f>
        <v>0.41666666666666669</v>
      </c>
      <c r="Q4" s="7">
        <f>'Key Business Variables'!$G$3/12*(1-'Key Business Variables'!$C$33/100)</f>
        <v>0.41666666666666669</v>
      </c>
      <c r="R4" s="7">
        <f>'Key Business Variables'!$G$3/12*(1-'Key Business Variables'!$C$33/100)</f>
        <v>0.41666666666666669</v>
      </c>
      <c r="S4" s="7">
        <f>'Key Business Variables'!$G$3/12*(1-'Key Business Variables'!$C$33/100)</f>
        <v>0.41666666666666669</v>
      </c>
      <c r="T4" s="7">
        <f>'Key Business Variables'!$G$3/12*(1-'Key Business Variables'!$C$33/100)</f>
        <v>0.41666666666666669</v>
      </c>
      <c r="U4" s="7">
        <f>'Key Business Variables'!$G$3/12*(1-'Key Business Variables'!$C$33/100)</f>
        <v>0.41666666666666669</v>
      </c>
      <c r="V4" s="7">
        <f>'Key Business Variables'!$G$3/12*(1-'Key Business Variables'!$C$33/100)</f>
        <v>0.41666666666666669</v>
      </c>
      <c r="W4" s="7">
        <f>'Key Business Variables'!$G$3/12*(1-'Key Business Variables'!$C$33/100)</f>
        <v>0.41666666666666669</v>
      </c>
      <c r="X4" s="7">
        <f>'Key Business Variables'!$G$3/12*(1-'Key Business Variables'!$C$33/100)</f>
        <v>0.41666666666666669</v>
      </c>
      <c r="Y4" s="7">
        <f>'Key Business Variables'!$G$3/12*(1-'Key Business Variables'!$C$33/100)</f>
        <v>0.41666666666666669</v>
      </c>
      <c r="Z4" s="7">
        <f>'Key Business Variables'!$G$3/12*(1-'Key Business Variables'!$C$33/100)</f>
        <v>0.41666666666666669</v>
      </c>
      <c r="AA4" s="7">
        <f>'Key Business Variables'!$I$3/12*(1-'Key Business Variables'!$C$33/100)</f>
        <v>0.41666666666666669</v>
      </c>
      <c r="AB4" s="7">
        <f>'Key Business Variables'!$I$3/12*(1-'Key Business Variables'!$C$33/100)</f>
        <v>0.41666666666666669</v>
      </c>
      <c r="AC4" s="7">
        <f>'Key Business Variables'!$I$3/12*(1-'Key Business Variables'!$C$33/100)</f>
        <v>0.41666666666666669</v>
      </c>
      <c r="AD4" s="7">
        <f>'Key Business Variables'!$I$3/12*(1-'Key Business Variables'!$C$33/100)</f>
        <v>0.41666666666666669</v>
      </c>
      <c r="AE4" s="7">
        <f>'Key Business Variables'!$I$3/12*(1-'Key Business Variables'!$C$33/100)</f>
        <v>0.41666666666666669</v>
      </c>
      <c r="AF4" s="7">
        <f>'Key Business Variables'!$I$3/12*(1-'Key Business Variables'!$C$33/100)</f>
        <v>0.41666666666666669</v>
      </c>
      <c r="AG4" s="7">
        <f>'Key Business Variables'!$I$3/12*(1-'Key Business Variables'!$C$33/100)</f>
        <v>0.41666666666666669</v>
      </c>
      <c r="AH4" s="7">
        <f>'Key Business Variables'!$I$3/12*(1-'Key Business Variables'!$C$33/100)</f>
        <v>0.41666666666666669</v>
      </c>
      <c r="AI4" s="7">
        <f>'Key Business Variables'!$I$3/12*(1-'Key Business Variables'!$C$33/100)</f>
        <v>0.41666666666666669</v>
      </c>
      <c r="AJ4" s="7">
        <f>'Key Business Variables'!$I$3/12*(1-'Key Business Variables'!$C$33/100)</f>
        <v>0.41666666666666669</v>
      </c>
      <c r="AK4" s="7">
        <f>'Key Business Variables'!$I$3/12*(1-'Key Business Variables'!$C$33/100)</f>
        <v>0.41666666666666669</v>
      </c>
      <c r="AL4" s="7">
        <f>'Key Business Variables'!$I$3/12*(1-'Key Business Variables'!$C$33/100)</f>
        <v>0.41666666666666669</v>
      </c>
      <c r="AM4" s="7">
        <f>'Key Business Variables'!$J$3/12*(1-'Key Business Variables'!$C$33/100)</f>
        <v>0.41666666666666669</v>
      </c>
      <c r="AN4" s="7">
        <f>'Key Business Variables'!$J$3/12*(1-'Key Business Variables'!$C$33/100)</f>
        <v>0.41666666666666669</v>
      </c>
      <c r="AO4" s="7">
        <f>'Key Business Variables'!$J$3/12*(1-'Key Business Variables'!$C$33/100)</f>
        <v>0.41666666666666669</v>
      </c>
      <c r="AP4" s="7">
        <f>'Key Business Variables'!$J$3/12*(1-'Key Business Variables'!$C$33/100)</f>
        <v>0.41666666666666669</v>
      </c>
      <c r="AQ4" s="7">
        <f>'Key Business Variables'!$J$3/12*(1-'Key Business Variables'!$C$33/100)</f>
        <v>0.41666666666666669</v>
      </c>
      <c r="AR4" s="7">
        <f>'Key Business Variables'!$J$3/12*(1-'Key Business Variables'!$C$33/100)</f>
        <v>0.41666666666666669</v>
      </c>
      <c r="AS4" s="7">
        <f>'Key Business Variables'!$J$3/12*(1-'Key Business Variables'!$C$33/100)</f>
        <v>0.41666666666666669</v>
      </c>
      <c r="AT4" s="7">
        <f>'Key Business Variables'!$J$3/12*(1-'Key Business Variables'!$C$33/100)</f>
        <v>0.41666666666666669</v>
      </c>
      <c r="AU4" s="7">
        <f>'Key Business Variables'!$J$3/12*(1-'Key Business Variables'!$C$33/100)</f>
        <v>0.41666666666666669</v>
      </c>
      <c r="AV4" s="7">
        <f>'Key Business Variables'!$J$3/12*(1-'Key Business Variables'!$C$33/100)</f>
        <v>0.41666666666666669</v>
      </c>
      <c r="AW4" s="7">
        <f>'Key Business Variables'!$J$3/12*(1-'Key Business Variables'!$C$33/100)</f>
        <v>0.41666666666666669</v>
      </c>
      <c r="AX4" s="7">
        <f>'Key Business Variables'!$J$3/12*(1-'Key Business Variables'!$C$33/100)</f>
        <v>0.41666666666666669</v>
      </c>
    </row>
    <row r="5" spans="1:50" hidden="1" x14ac:dyDescent="0.25">
      <c r="A5" s="3" t="s">
        <v>45</v>
      </c>
      <c r="C5" s="8">
        <f>'Key Business Variables'!$F$3/12*('Key Business Variables'!$C$33)/100</f>
        <v>0</v>
      </c>
      <c r="D5" s="8">
        <f>'Key Business Variables'!$F$3/12*('Key Business Variables'!$C$33)/100</f>
        <v>0</v>
      </c>
      <c r="E5" s="8">
        <f>'Key Business Variables'!$F$3/12*('Key Business Variables'!$C$33)/100</f>
        <v>0</v>
      </c>
      <c r="F5" s="7">
        <f>'Key Business Variables'!$F$3/12*('Key Business Variables'!$C$33)/100</f>
        <v>0</v>
      </c>
      <c r="G5" s="7">
        <f>'Key Business Variables'!$F$3/12*('Key Business Variables'!$C$33)/100</f>
        <v>0</v>
      </c>
      <c r="H5" s="7">
        <f>'Key Business Variables'!$F$3/12*('Key Business Variables'!$C$33)/100</f>
        <v>0</v>
      </c>
      <c r="I5" s="7">
        <f>'Key Business Variables'!$F$3/12*('Key Business Variables'!$C$33)/100</f>
        <v>0</v>
      </c>
      <c r="J5" s="7">
        <f>'Key Business Variables'!$F$3/12*('Key Business Variables'!$C$33)/100</f>
        <v>0</v>
      </c>
      <c r="K5" s="7">
        <f>'Key Business Variables'!$F$3/12*('Key Business Variables'!$C$33)/100</f>
        <v>0</v>
      </c>
      <c r="L5" s="7">
        <f>'Key Business Variables'!$F$3/12*('Key Business Variables'!$C$33)/100</f>
        <v>0</v>
      </c>
      <c r="M5" s="7">
        <f>'Key Business Variables'!$F$3/12*('Key Business Variables'!$C$33)/100</f>
        <v>0</v>
      </c>
      <c r="N5" s="7">
        <f>'Key Business Variables'!$F$3/12*('Key Business Variables'!$C$33)/100</f>
        <v>0</v>
      </c>
      <c r="O5" s="7">
        <f>'Key Business Variables'!$G$3/12*('Key Business Variables'!$C$33)/100</f>
        <v>0</v>
      </c>
      <c r="P5" s="7">
        <f>'Key Business Variables'!$G$3/12*('Key Business Variables'!$C$33)/100</f>
        <v>0</v>
      </c>
      <c r="Q5" s="7">
        <f>'Key Business Variables'!$G$3/12*('Key Business Variables'!$C$33)/100</f>
        <v>0</v>
      </c>
      <c r="R5" s="7">
        <f>'Key Business Variables'!$G$3/12*('Key Business Variables'!$C$33)/100</f>
        <v>0</v>
      </c>
      <c r="S5" s="7">
        <f>'Key Business Variables'!$G$3/12*('Key Business Variables'!$C$33)/100</f>
        <v>0</v>
      </c>
      <c r="T5" s="7">
        <f>'Key Business Variables'!$G$3/12*('Key Business Variables'!$C$33)/100</f>
        <v>0</v>
      </c>
      <c r="U5" s="7">
        <f>'Key Business Variables'!$G$3/12*('Key Business Variables'!$C$33)/100</f>
        <v>0</v>
      </c>
      <c r="V5" s="7">
        <f>'Key Business Variables'!$G$3/12*('Key Business Variables'!$C$33)/100</f>
        <v>0</v>
      </c>
      <c r="W5" s="7">
        <f>'Key Business Variables'!$G$3/12*('Key Business Variables'!$C$33)/100</f>
        <v>0</v>
      </c>
      <c r="X5" s="7">
        <f>'Key Business Variables'!$G$3/12*('Key Business Variables'!$C$33)/100</f>
        <v>0</v>
      </c>
      <c r="Y5" s="7">
        <f>'Key Business Variables'!$G$3/12*('Key Business Variables'!$C$33)/100</f>
        <v>0</v>
      </c>
      <c r="Z5" s="7">
        <f>'Key Business Variables'!$G$3/12*('Key Business Variables'!$C$33)/100</f>
        <v>0</v>
      </c>
      <c r="AA5" s="7">
        <f>'Key Business Variables'!$I$3/12*('Key Business Variables'!$C$33)/100</f>
        <v>0</v>
      </c>
      <c r="AB5" s="7">
        <f>'Key Business Variables'!$I$3/12*('Key Business Variables'!$C$33)/100</f>
        <v>0</v>
      </c>
      <c r="AC5" s="7">
        <f>'Key Business Variables'!$I$3/12*('Key Business Variables'!$C$33)/100</f>
        <v>0</v>
      </c>
      <c r="AD5" s="7">
        <f>'Key Business Variables'!$I$3/12*('Key Business Variables'!$C$33)/100</f>
        <v>0</v>
      </c>
      <c r="AE5" s="7">
        <f>'Key Business Variables'!$I$3/12*('Key Business Variables'!$C$33)/100</f>
        <v>0</v>
      </c>
      <c r="AF5" s="7">
        <f>'Key Business Variables'!$I$3/12*('Key Business Variables'!$C$33)/100</f>
        <v>0</v>
      </c>
      <c r="AG5" s="7">
        <f>'Key Business Variables'!$I$3/12*('Key Business Variables'!$C$33)/100</f>
        <v>0</v>
      </c>
      <c r="AH5" s="7">
        <f>'Key Business Variables'!$I$3/12*('Key Business Variables'!$C$33)/100</f>
        <v>0</v>
      </c>
      <c r="AI5" s="7">
        <f>'Key Business Variables'!$I$3/12*('Key Business Variables'!$C$33)/100</f>
        <v>0</v>
      </c>
      <c r="AJ5" s="7">
        <f>'Key Business Variables'!$I$3/12*('Key Business Variables'!$C$33)/100</f>
        <v>0</v>
      </c>
      <c r="AK5" s="7">
        <f>'Key Business Variables'!$I$3/12*('Key Business Variables'!$C$33)/100</f>
        <v>0</v>
      </c>
      <c r="AL5" s="7">
        <f>'Key Business Variables'!$I$3/12*('Key Business Variables'!$C$33)/100</f>
        <v>0</v>
      </c>
      <c r="AM5" s="7">
        <f>'Key Business Variables'!$J$3/12*('Key Business Variables'!$C$33)/100</f>
        <v>0</v>
      </c>
      <c r="AN5" s="7">
        <f>'Key Business Variables'!$J$3/12*('Key Business Variables'!$C$33)/100</f>
        <v>0</v>
      </c>
      <c r="AO5" s="7">
        <f>'Key Business Variables'!$J$3/12*('Key Business Variables'!$C$33)/100</f>
        <v>0</v>
      </c>
      <c r="AP5" s="7">
        <f>'Key Business Variables'!$J$3/12*('Key Business Variables'!$C$33)/100</f>
        <v>0</v>
      </c>
      <c r="AQ5" s="7">
        <f>'Key Business Variables'!$J$3/12*('Key Business Variables'!$C$33)/100</f>
        <v>0</v>
      </c>
      <c r="AR5" s="7">
        <f>'Key Business Variables'!$J$3/12*('Key Business Variables'!$C$33)/100</f>
        <v>0</v>
      </c>
      <c r="AS5" s="7">
        <f>'Key Business Variables'!$J$3/12*('Key Business Variables'!$C$33)/100</f>
        <v>0</v>
      </c>
      <c r="AT5" s="7">
        <f>'Key Business Variables'!$J$3/12*('Key Business Variables'!$C$33)/100</f>
        <v>0</v>
      </c>
      <c r="AU5" s="7">
        <f>'Key Business Variables'!$J$3/12*('Key Business Variables'!$C$33)/100</f>
        <v>0</v>
      </c>
      <c r="AV5" s="7">
        <f>'Key Business Variables'!$J$3/12*('Key Business Variables'!$C$33)/100</f>
        <v>0</v>
      </c>
      <c r="AW5" s="7">
        <f>'Key Business Variables'!$J$3/12*('Key Business Variables'!$C$33)/100</f>
        <v>0</v>
      </c>
      <c r="AX5" s="7">
        <f>'Key Business Variables'!$J$3/12*('Key Business Variables'!$C$33)/100</f>
        <v>0</v>
      </c>
    </row>
    <row r="6" spans="1:50" hidden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hidden="1" x14ac:dyDescent="0.25">
      <c r="A7" s="11" t="s">
        <v>46</v>
      </c>
      <c r="B7" s="11"/>
      <c r="C7" s="74">
        <f>C4</f>
        <v>0.41666666666666669</v>
      </c>
      <c r="D7" s="74">
        <f>C7+D4</f>
        <v>0.83333333333333337</v>
      </c>
      <c r="E7" s="5">
        <f t="shared" ref="E7:AX7" si="0">D7+E4</f>
        <v>1.25</v>
      </c>
      <c r="F7" s="5">
        <f t="shared" si="0"/>
        <v>1.6666666666666667</v>
      </c>
      <c r="G7" s="5">
        <f t="shared" si="0"/>
        <v>2.0833333333333335</v>
      </c>
      <c r="H7" s="5">
        <f t="shared" si="0"/>
        <v>2.5</v>
      </c>
      <c r="I7" s="5">
        <f t="shared" si="0"/>
        <v>2.9166666666666665</v>
      </c>
      <c r="J7" s="5">
        <f t="shared" si="0"/>
        <v>3.333333333333333</v>
      </c>
      <c r="K7" s="5">
        <f t="shared" si="0"/>
        <v>3.7499999999999996</v>
      </c>
      <c r="L7" s="5">
        <f t="shared" si="0"/>
        <v>4.1666666666666661</v>
      </c>
      <c r="M7" s="5">
        <f t="shared" si="0"/>
        <v>4.583333333333333</v>
      </c>
      <c r="N7" s="5">
        <f t="shared" si="0"/>
        <v>5</v>
      </c>
      <c r="O7" s="5">
        <f t="shared" si="0"/>
        <v>5.416666666666667</v>
      </c>
      <c r="P7" s="5">
        <f t="shared" si="0"/>
        <v>5.8333333333333339</v>
      </c>
      <c r="Q7" s="5">
        <f t="shared" si="0"/>
        <v>6.2500000000000009</v>
      </c>
      <c r="R7" s="5">
        <f t="shared" si="0"/>
        <v>6.6666666666666679</v>
      </c>
      <c r="S7" s="5">
        <f t="shared" si="0"/>
        <v>7.0833333333333348</v>
      </c>
      <c r="T7" s="5">
        <f t="shared" si="0"/>
        <v>7.5000000000000018</v>
      </c>
      <c r="U7" s="5">
        <f t="shared" si="0"/>
        <v>7.9166666666666687</v>
      </c>
      <c r="V7" s="5">
        <f t="shared" si="0"/>
        <v>8.3333333333333357</v>
      </c>
      <c r="W7" s="5">
        <f t="shared" si="0"/>
        <v>8.7500000000000018</v>
      </c>
      <c r="X7" s="5">
        <f t="shared" si="0"/>
        <v>9.1666666666666679</v>
      </c>
      <c r="Y7" s="5">
        <f t="shared" si="0"/>
        <v>9.5833333333333339</v>
      </c>
      <c r="Z7" s="5">
        <f t="shared" si="0"/>
        <v>10</v>
      </c>
      <c r="AA7" s="5">
        <f t="shared" si="0"/>
        <v>10.416666666666666</v>
      </c>
      <c r="AB7" s="5">
        <f t="shared" si="0"/>
        <v>10.833333333333332</v>
      </c>
      <c r="AC7" s="5">
        <f t="shared" si="0"/>
        <v>11.249999999999998</v>
      </c>
      <c r="AD7" s="5">
        <f t="shared" si="0"/>
        <v>11.666666666666664</v>
      </c>
      <c r="AE7" s="5">
        <f t="shared" si="0"/>
        <v>12.08333333333333</v>
      </c>
      <c r="AF7" s="5">
        <f t="shared" si="0"/>
        <v>12.499999999999996</v>
      </c>
      <c r="AG7" s="5">
        <f t="shared" si="0"/>
        <v>12.916666666666663</v>
      </c>
      <c r="AH7" s="5">
        <f t="shared" si="0"/>
        <v>13.333333333333329</v>
      </c>
      <c r="AI7" s="5">
        <f t="shared" si="0"/>
        <v>13.749999999999995</v>
      </c>
      <c r="AJ7" s="5">
        <f t="shared" si="0"/>
        <v>14.166666666666661</v>
      </c>
      <c r="AK7" s="5">
        <f t="shared" si="0"/>
        <v>14.583333333333327</v>
      </c>
      <c r="AL7" s="5">
        <f t="shared" si="0"/>
        <v>14.999999999999993</v>
      </c>
      <c r="AM7" s="5">
        <f t="shared" si="0"/>
        <v>15.416666666666659</v>
      </c>
      <c r="AN7" s="5">
        <f t="shared" si="0"/>
        <v>15.833333333333325</v>
      </c>
      <c r="AO7" s="5">
        <f t="shared" si="0"/>
        <v>16.249999999999993</v>
      </c>
      <c r="AP7" s="5">
        <f t="shared" si="0"/>
        <v>16.666666666666661</v>
      </c>
      <c r="AQ7" s="5">
        <f t="shared" si="0"/>
        <v>17.083333333333329</v>
      </c>
      <c r="AR7" s="5">
        <f t="shared" si="0"/>
        <v>17.499999999999996</v>
      </c>
      <c r="AS7" s="5">
        <f t="shared" si="0"/>
        <v>17.916666666666664</v>
      </c>
      <c r="AT7" s="5">
        <f t="shared" si="0"/>
        <v>18.333333333333332</v>
      </c>
      <c r="AU7" s="5">
        <f t="shared" si="0"/>
        <v>18.75</v>
      </c>
      <c r="AV7" s="5">
        <f t="shared" si="0"/>
        <v>19.166666666666668</v>
      </c>
      <c r="AW7" s="5">
        <f t="shared" si="0"/>
        <v>19.583333333333336</v>
      </c>
      <c r="AX7" s="5">
        <f t="shared" si="0"/>
        <v>20.000000000000004</v>
      </c>
    </row>
    <row r="8" spans="1:50" hidden="1" x14ac:dyDescent="0.25">
      <c r="A8" s="11" t="s">
        <v>47</v>
      </c>
      <c r="B8" s="11"/>
      <c r="C8" s="74">
        <f>C5</f>
        <v>0</v>
      </c>
      <c r="D8" s="74">
        <f>C8+D5</f>
        <v>0</v>
      </c>
      <c r="E8" s="5">
        <f t="shared" ref="E8:N8" si="1">D8+E5</f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>N8+O5-(C5*'Key Business Variables'!$F$35)</f>
        <v>0</v>
      </c>
      <c r="P8" s="5">
        <f>O8+P5-(D5*'Key Business Variables'!$F$35)</f>
        <v>0</v>
      </c>
      <c r="Q8" s="5">
        <f>P8+Q5-(E5*'Key Business Variables'!$F$35)</f>
        <v>0</v>
      </c>
      <c r="R8" s="5">
        <f>Q8+R5-(F5*'Key Business Variables'!$F$35)</f>
        <v>0</v>
      </c>
      <c r="S8" s="5">
        <f>R8+S5-(G5*'Key Business Variables'!$F$35)</f>
        <v>0</v>
      </c>
      <c r="T8" s="5">
        <f>S8+T5-(H5*'Key Business Variables'!$F$35)</f>
        <v>0</v>
      </c>
      <c r="U8" s="5">
        <f>T8+U5-(I5*'Key Business Variables'!$F$35)</f>
        <v>0</v>
      </c>
      <c r="V8" s="5">
        <f>U8+V5-(J5*'Key Business Variables'!$F$35)</f>
        <v>0</v>
      </c>
      <c r="W8" s="5">
        <f>V8+W5-(K5*'Key Business Variables'!$F$35)</f>
        <v>0</v>
      </c>
      <c r="X8" s="5">
        <f>W8+X5-(L5*'Key Business Variables'!$F$35)</f>
        <v>0</v>
      </c>
      <c r="Y8" s="5">
        <f>X8+Y5-(M5*'Key Business Variables'!$F$35)</f>
        <v>0</v>
      </c>
      <c r="Z8" s="5">
        <f>Y8+Z5-(N5*'Key Business Variables'!$F$35)</f>
        <v>0</v>
      </c>
      <c r="AA8" s="5">
        <f>Z8+AA5-(O5*'Key Business Variables'!$F$35)</f>
        <v>0</v>
      </c>
      <c r="AB8" s="5">
        <f>AA8+AB5-(P5*'Key Business Variables'!$F$35)</f>
        <v>0</v>
      </c>
      <c r="AC8" s="5">
        <f>AB8+AC5-(Q5*'Key Business Variables'!$F$35)</f>
        <v>0</v>
      </c>
      <c r="AD8" s="5">
        <f>AC8+AD5-(R5*'Key Business Variables'!$F$35)</f>
        <v>0</v>
      </c>
      <c r="AE8" s="5">
        <f>AD8+AE5-(S5*'Key Business Variables'!$F$35)</f>
        <v>0</v>
      </c>
      <c r="AF8" s="5">
        <f>AE8+AF5-(T5*'Key Business Variables'!$F$35)</f>
        <v>0</v>
      </c>
      <c r="AG8" s="5">
        <f>AF8+AG5-(U5*'Key Business Variables'!$F$35)</f>
        <v>0</v>
      </c>
      <c r="AH8" s="5">
        <f>AG8+AH5-(V5*'Key Business Variables'!$F$35)</f>
        <v>0</v>
      </c>
      <c r="AI8" s="5">
        <f>AH8+AI5-(W5*'Key Business Variables'!$F$35)</f>
        <v>0</v>
      </c>
      <c r="AJ8" s="5">
        <f>AI8+AJ5-(X5*'Key Business Variables'!$F$35)</f>
        <v>0</v>
      </c>
      <c r="AK8" s="5">
        <f>AJ8+AK5-(Y5*'Key Business Variables'!$F$35)</f>
        <v>0</v>
      </c>
      <c r="AL8" s="5">
        <f>AK8+AL5-(Z5*'Key Business Variables'!$F$35)</f>
        <v>0</v>
      </c>
      <c r="AM8" s="5">
        <f>AL8+AM5-(AA5*'Key Business Variables'!$F$35)</f>
        <v>0</v>
      </c>
      <c r="AN8" s="5">
        <f>AM8+AN5-(AB5*'Key Business Variables'!$F$35)</f>
        <v>0</v>
      </c>
      <c r="AO8" s="5">
        <f>AN8+AO5-(AC5*'Key Business Variables'!$F$35)</f>
        <v>0</v>
      </c>
      <c r="AP8" s="5">
        <f>AO8+AP5-(AD5*'Key Business Variables'!$F$35)</f>
        <v>0</v>
      </c>
      <c r="AQ8" s="5">
        <f>AP8+AQ5-(AE5*'Key Business Variables'!$F$35)</f>
        <v>0</v>
      </c>
      <c r="AR8" s="5">
        <f>AQ8+AR5-(AF5*'Key Business Variables'!$F$35)</f>
        <v>0</v>
      </c>
      <c r="AS8" s="5">
        <f>AR8+AS5-(AG5*'Key Business Variables'!$F$35)</f>
        <v>0</v>
      </c>
      <c r="AT8" s="5">
        <f>AS8+AT5-(AH5*'Key Business Variables'!$F$35)</f>
        <v>0</v>
      </c>
      <c r="AU8" s="5">
        <f>AT8+AU5-(AI5*'Key Business Variables'!$F$35)</f>
        <v>0</v>
      </c>
      <c r="AV8" s="5">
        <f>AU8+AV5-(AJ5*'Key Business Variables'!$F$35)</f>
        <v>0</v>
      </c>
      <c r="AW8" s="5">
        <f>AV8+AW5-(AK5*'Key Business Variables'!$F$35)</f>
        <v>0</v>
      </c>
      <c r="AX8" s="5">
        <f>AW8+AX5-(AL5*'Key Business Variables'!$F$35)</f>
        <v>0</v>
      </c>
    </row>
    <row r="9" spans="1:50" hidden="1" x14ac:dyDescent="0.25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hidden="1" x14ac:dyDescent="0.25">
      <c r="A10" s="11" t="s">
        <v>55</v>
      </c>
      <c r="B10" s="11"/>
      <c r="C10" s="5">
        <f>C8*'Key Business Variables'!$C$6</f>
        <v>0</v>
      </c>
      <c r="D10" s="5">
        <f>D8*'Key Business Variables'!$C$6</f>
        <v>0</v>
      </c>
      <c r="E10" s="5">
        <f>E8*'Key Business Variables'!$C$6</f>
        <v>0</v>
      </c>
      <c r="F10" s="5">
        <f>F8*'Key Business Variables'!$C$6</f>
        <v>0</v>
      </c>
      <c r="G10" s="5">
        <f>G8*'Key Business Variables'!$C$6</f>
        <v>0</v>
      </c>
      <c r="H10" s="5">
        <f>H8*'Key Business Variables'!$C$6</f>
        <v>0</v>
      </c>
      <c r="I10" s="5">
        <f>I8*'Key Business Variables'!$C$6</f>
        <v>0</v>
      </c>
      <c r="J10" s="5">
        <f>J8*'Key Business Variables'!$C$6</f>
        <v>0</v>
      </c>
      <c r="K10" s="5">
        <f>K8*'Key Business Variables'!$C$6</f>
        <v>0</v>
      </c>
      <c r="L10" s="5">
        <f>L8*'Key Business Variables'!$C$6</f>
        <v>0</v>
      </c>
      <c r="M10" s="5">
        <f>M8*'Key Business Variables'!$C$6</f>
        <v>0</v>
      </c>
      <c r="N10" s="5">
        <f>N8*'Key Business Variables'!$C$6</f>
        <v>0</v>
      </c>
      <c r="O10" s="5">
        <f>O8*'Key Business Variables'!$C$6</f>
        <v>0</v>
      </c>
      <c r="P10" s="5">
        <f>P8*'Key Business Variables'!$C$6</f>
        <v>0</v>
      </c>
      <c r="Q10" s="5">
        <f>Q8*'Key Business Variables'!$C$6</f>
        <v>0</v>
      </c>
      <c r="R10" s="5">
        <f>R8*'Key Business Variables'!$C$6</f>
        <v>0</v>
      </c>
      <c r="S10" s="5">
        <f>S8*'Key Business Variables'!$C$6</f>
        <v>0</v>
      </c>
      <c r="T10" s="5">
        <f>T8*'Key Business Variables'!$C$6</f>
        <v>0</v>
      </c>
      <c r="U10" s="5">
        <f>U8*'Key Business Variables'!$C$6</f>
        <v>0</v>
      </c>
      <c r="V10" s="5">
        <f>V8*'Key Business Variables'!$C$6</f>
        <v>0</v>
      </c>
      <c r="W10" s="5">
        <f>W8*'Key Business Variables'!$C$6</f>
        <v>0</v>
      </c>
      <c r="X10" s="5">
        <f>X8*'Key Business Variables'!$C$6</f>
        <v>0</v>
      </c>
      <c r="Y10" s="5">
        <f>Y8*'Key Business Variables'!$C$6</f>
        <v>0</v>
      </c>
      <c r="Z10" s="5">
        <f>Z8*'Key Business Variables'!$C$6</f>
        <v>0</v>
      </c>
      <c r="AA10" s="5">
        <f>AA8*'Key Business Variables'!$C$6</f>
        <v>0</v>
      </c>
      <c r="AB10" s="5">
        <f>AB8*'Key Business Variables'!$C$6</f>
        <v>0</v>
      </c>
      <c r="AC10" s="5">
        <f>AC8*'Key Business Variables'!$C$6</f>
        <v>0</v>
      </c>
      <c r="AD10" s="5">
        <f>AD8*'Key Business Variables'!$C$6</f>
        <v>0</v>
      </c>
      <c r="AE10" s="5">
        <f>AE8*'Key Business Variables'!$C$6</f>
        <v>0</v>
      </c>
      <c r="AF10" s="5">
        <f>AF8*'Key Business Variables'!$C$6</f>
        <v>0</v>
      </c>
      <c r="AG10" s="5">
        <f>AG8*'Key Business Variables'!$C$6</f>
        <v>0</v>
      </c>
      <c r="AH10" s="5">
        <f>AH8*'Key Business Variables'!$C$6</f>
        <v>0</v>
      </c>
      <c r="AI10" s="5">
        <f>AI8*'Key Business Variables'!$C$6</f>
        <v>0</v>
      </c>
      <c r="AJ10" s="5">
        <f>AJ8*'Key Business Variables'!$C$6</f>
        <v>0</v>
      </c>
      <c r="AK10" s="5">
        <f>AK8*'Key Business Variables'!$C$6</f>
        <v>0</v>
      </c>
      <c r="AL10" s="5">
        <f>AL8*'Key Business Variables'!$C$6</f>
        <v>0</v>
      </c>
      <c r="AM10" s="5">
        <f>AM8*'Key Business Variables'!$C$6</f>
        <v>0</v>
      </c>
      <c r="AN10" s="5">
        <f>AN8*'Key Business Variables'!$C$6</f>
        <v>0</v>
      </c>
      <c r="AO10" s="5">
        <f>AO8*'Key Business Variables'!$C$6</f>
        <v>0</v>
      </c>
      <c r="AP10" s="5">
        <f>AP8*'Key Business Variables'!$C$6</f>
        <v>0</v>
      </c>
      <c r="AQ10" s="5">
        <f>AQ8*'Key Business Variables'!$C$6</f>
        <v>0</v>
      </c>
      <c r="AR10" s="5">
        <f>AR8*'Key Business Variables'!$C$6</f>
        <v>0</v>
      </c>
      <c r="AS10" s="5">
        <f>AS8*'Key Business Variables'!$C$6</f>
        <v>0</v>
      </c>
      <c r="AT10" s="5">
        <f>AT8*'Key Business Variables'!$C$6</f>
        <v>0</v>
      </c>
      <c r="AU10" s="5">
        <f>AU8*'Key Business Variables'!$C$6</f>
        <v>0</v>
      </c>
      <c r="AV10" s="5">
        <f>AV8*'Key Business Variables'!$C$6</f>
        <v>0</v>
      </c>
      <c r="AW10" s="5">
        <f>AW8*'Key Business Variables'!$C$6</f>
        <v>0</v>
      </c>
      <c r="AX10" s="5">
        <f>AX8*'Key Business Variables'!$C$6</f>
        <v>0</v>
      </c>
    </row>
    <row r="11" spans="1:50" hidden="1" x14ac:dyDescent="0.25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hidden="1" x14ac:dyDescent="0.25">
      <c r="A12" s="11" t="s">
        <v>48</v>
      </c>
      <c r="B12" s="11"/>
      <c r="C12" s="70">
        <f>C7*'Key Business Variables'!$C$32/100</f>
        <v>0</v>
      </c>
      <c r="D12" s="74">
        <f>D7*'Key Business Variables'!$C$32/100</f>
        <v>0</v>
      </c>
      <c r="E12" s="74">
        <f>E7*'Key Business Variables'!$C$32/100</f>
        <v>0</v>
      </c>
      <c r="F12" s="74">
        <f>F7*'Key Business Variables'!$C$32/100</f>
        <v>0</v>
      </c>
      <c r="G12" s="5">
        <f>G7*'Key Business Variables'!$C$32/100</f>
        <v>0</v>
      </c>
      <c r="H12" s="5">
        <f>H7*'Key Business Variables'!$C$32/100</f>
        <v>0</v>
      </c>
      <c r="I12" s="5">
        <f>I7*'Key Business Variables'!$C$32/100</f>
        <v>0</v>
      </c>
      <c r="J12" s="5">
        <f>J7*'Key Business Variables'!$C$32/100</f>
        <v>0</v>
      </c>
      <c r="K12" s="5">
        <f>K7*'Key Business Variables'!$C$32/100</f>
        <v>0</v>
      </c>
      <c r="L12" s="5">
        <f>L7*'Key Business Variables'!$C$32/100</f>
        <v>0</v>
      </c>
      <c r="M12" s="5">
        <f>M7*'Key Business Variables'!$C$32/100</f>
        <v>0</v>
      </c>
      <c r="N12" s="5">
        <f>N7*'Key Business Variables'!$C$32/100</f>
        <v>0</v>
      </c>
      <c r="O12" s="5">
        <f>O7*'Key Business Variables'!$C$32/100</f>
        <v>0</v>
      </c>
      <c r="P12" s="5">
        <f>P7*'Key Business Variables'!$C$32/100</f>
        <v>0</v>
      </c>
      <c r="Q12" s="5">
        <f>Q7*'Key Business Variables'!$C$32/100</f>
        <v>0</v>
      </c>
      <c r="R12" s="5">
        <f>R7*'Key Business Variables'!$C$32/100</f>
        <v>0</v>
      </c>
      <c r="S12" s="5">
        <f>S7*'Key Business Variables'!$C$32/100</f>
        <v>0</v>
      </c>
      <c r="T12" s="5">
        <f>T7*'Key Business Variables'!$C$32/100</f>
        <v>0</v>
      </c>
      <c r="U12" s="5">
        <f>U7*'Key Business Variables'!$C$32/100</f>
        <v>0</v>
      </c>
      <c r="V12" s="5">
        <f>V7*'Key Business Variables'!$C$32/100</f>
        <v>0</v>
      </c>
      <c r="W12" s="5">
        <f>W7*'Key Business Variables'!$C$32/100</f>
        <v>0</v>
      </c>
      <c r="X12" s="5">
        <f>X7*'Key Business Variables'!$C$32/100</f>
        <v>0</v>
      </c>
      <c r="Y12" s="5">
        <f>Y7*'Key Business Variables'!$C$32/100</f>
        <v>0</v>
      </c>
      <c r="Z12" s="5">
        <f>Z7*'Key Business Variables'!$C$32/100</f>
        <v>0</v>
      </c>
      <c r="AA12" s="5">
        <f>AA7*'Key Business Variables'!$C$32/100</f>
        <v>0</v>
      </c>
      <c r="AB12" s="5">
        <f>AB7*'Key Business Variables'!$C$32/100</f>
        <v>0</v>
      </c>
      <c r="AC12" s="5">
        <f>AC7*'Key Business Variables'!$C$32/100</f>
        <v>0</v>
      </c>
      <c r="AD12" s="5">
        <f>AD7*'Key Business Variables'!$C$32/100</f>
        <v>0</v>
      </c>
      <c r="AE12" s="5">
        <f>AE7*'Key Business Variables'!$C$32/100</f>
        <v>0</v>
      </c>
      <c r="AF12" s="5">
        <f>AF7*'Key Business Variables'!$C$32/100</f>
        <v>0</v>
      </c>
      <c r="AG12" s="5">
        <f>AG7*'Key Business Variables'!$C$32/100</f>
        <v>0</v>
      </c>
      <c r="AH12" s="5">
        <f>AH7*'Key Business Variables'!$C$32/100</f>
        <v>0</v>
      </c>
      <c r="AI12" s="5">
        <f>AI7*'Key Business Variables'!$C$32/100</f>
        <v>0</v>
      </c>
      <c r="AJ12" s="5">
        <f>AJ7*'Key Business Variables'!$C$32/100</f>
        <v>0</v>
      </c>
      <c r="AK12" s="5">
        <f>AK7*'Key Business Variables'!$C$32/100</f>
        <v>0</v>
      </c>
      <c r="AL12" s="5">
        <f>AL7*'Key Business Variables'!$C$32/100</f>
        <v>0</v>
      </c>
      <c r="AM12" s="5">
        <f>AM7*'Key Business Variables'!$C$32/100</f>
        <v>0</v>
      </c>
      <c r="AN12" s="5">
        <f>AN7*'Key Business Variables'!$C$32/100</f>
        <v>0</v>
      </c>
      <c r="AO12" s="5">
        <f>AO7*'Key Business Variables'!$C$32/100</f>
        <v>0</v>
      </c>
      <c r="AP12" s="5">
        <f>AP7*'Key Business Variables'!$C$32/100</f>
        <v>0</v>
      </c>
      <c r="AQ12" s="5">
        <f>AQ7*'Key Business Variables'!$C$32/100</f>
        <v>0</v>
      </c>
      <c r="AR12" s="5">
        <f>AR7*'Key Business Variables'!$C$32/100</f>
        <v>0</v>
      </c>
      <c r="AS12" s="5">
        <f>AS7*'Key Business Variables'!$C$32/100</f>
        <v>0</v>
      </c>
      <c r="AT12" s="5">
        <f>AT7*'Key Business Variables'!$C$32/100</f>
        <v>0</v>
      </c>
      <c r="AU12" s="5">
        <f>AU7*'Key Business Variables'!$C$32/100</f>
        <v>0</v>
      </c>
      <c r="AV12" s="5">
        <f>AV7*'Key Business Variables'!$C$32/100</f>
        <v>0</v>
      </c>
      <c r="AW12" s="74">
        <f>AW7*'Key Business Variables'!$C$32/100</f>
        <v>0</v>
      </c>
      <c r="AX12" s="74">
        <f>AX7*'Key Business Variables'!$C$32/100</f>
        <v>0</v>
      </c>
    </row>
    <row r="13" spans="1:50" hidden="1" x14ac:dyDescent="0.25">
      <c r="A13" s="11" t="s">
        <v>49</v>
      </c>
      <c r="B13" s="11"/>
      <c r="C13" s="70">
        <f>C8*'Key Business Variables'!$C$32/100</f>
        <v>0</v>
      </c>
      <c r="D13" s="74">
        <f>D8*'Key Business Variables'!$C$32/100</f>
        <v>0</v>
      </c>
      <c r="E13" s="74">
        <f>E8*'Key Business Variables'!$C$32/100</f>
        <v>0</v>
      </c>
      <c r="F13" s="74">
        <f>F8*'Key Business Variables'!$C$32/100</f>
        <v>0</v>
      </c>
      <c r="G13" s="5">
        <f>G8*'Key Business Variables'!$C$32/100</f>
        <v>0</v>
      </c>
      <c r="H13" s="5">
        <f>H8*'Key Business Variables'!$C$32/100</f>
        <v>0</v>
      </c>
      <c r="I13" s="5">
        <f>I8*'Key Business Variables'!$C$32/100</f>
        <v>0</v>
      </c>
      <c r="J13" s="5">
        <f>J8*'Key Business Variables'!$C$32/100</f>
        <v>0</v>
      </c>
      <c r="K13" s="5">
        <f>K8*'Key Business Variables'!$C$32/100</f>
        <v>0</v>
      </c>
      <c r="L13" s="5">
        <f>L8*'Key Business Variables'!$C$32/100</f>
        <v>0</v>
      </c>
      <c r="M13" s="5">
        <f>M8*'Key Business Variables'!$C$32/100</f>
        <v>0</v>
      </c>
      <c r="N13" s="5">
        <f>N8*'Key Business Variables'!$C$32/100</f>
        <v>0</v>
      </c>
      <c r="O13" s="5">
        <f>O8*'Key Business Variables'!$C$32/100</f>
        <v>0</v>
      </c>
      <c r="P13" s="5">
        <f>P8*'Key Business Variables'!$C$32/100</f>
        <v>0</v>
      </c>
      <c r="Q13" s="5">
        <f>Q8*'Key Business Variables'!$C$32/100</f>
        <v>0</v>
      </c>
      <c r="R13" s="5">
        <f>R8*'Key Business Variables'!$C$32/100</f>
        <v>0</v>
      </c>
      <c r="S13" s="5">
        <f>S8*'Key Business Variables'!$C$32/100</f>
        <v>0</v>
      </c>
      <c r="T13" s="5">
        <f>T8*'Key Business Variables'!$C$32/100</f>
        <v>0</v>
      </c>
      <c r="U13" s="5">
        <f>U8*'Key Business Variables'!$C$32/100</f>
        <v>0</v>
      </c>
      <c r="V13" s="5">
        <f>V8*'Key Business Variables'!$C$32/100</f>
        <v>0</v>
      </c>
      <c r="W13" s="5">
        <f>W8*'Key Business Variables'!$C$32/100</f>
        <v>0</v>
      </c>
      <c r="X13" s="5">
        <f>X8*'Key Business Variables'!$C$32/100</f>
        <v>0</v>
      </c>
      <c r="Y13" s="5">
        <f>Y8*'Key Business Variables'!$C$32/100</f>
        <v>0</v>
      </c>
      <c r="Z13" s="5">
        <f>Z8*'Key Business Variables'!$C$32/100</f>
        <v>0</v>
      </c>
      <c r="AA13" s="5">
        <f>AA8*'Key Business Variables'!$C$32/100</f>
        <v>0</v>
      </c>
      <c r="AB13" s="5">
        <f>AB8*'Key Business Variables'!$C$32/100</f>
        <v>0</v>
      </c>
      <c r="AC13" s="5">
        <f>AC8*'Key Business Variables'!$C$32/100</f>
        <v>0</v>
      </c>
      <c r="AD13" s="5">
        <f>AD8*'Key Business Variables'!$C$32/100</f>
        <v>0</v>
      </c>
      <c r="AE13" s="5">
        <f>AE8*'Key Business Variables'!$C$32/100</f>
        <v>0</v>
      </c>
      <c r="AF13" s="5">
        <f>AF8*'Key Business Variables'!$C$32/100</f>
        <v>0</v>
      </c>
      <c r="AG13" s="5">
        <f>AG8*'Key Business Variables'!$C$32/100</f>
        <v>0</v>
      </c>
      <c r="AH13" s="5">
        <f>AH8*'Key Business Variables'!$C$32/100</f>
        <v>0</v>
      </c>
      <c r="AI13" s="5">
        <f>AI8*'Key Business Variables'!$C$32/100</f>
        <v>0</v>
      </c>
      <c r="AJ13" s="5">
        <f>AJ8*'Key Business Variables'!$C$32/100</f>
        <v>0</v>
      </c>
      <c r="AK13" s="5">
        <f>AK8*'Key Business Variables'!$C$32/100</f>
        <v>0</v>
      </c>
      <c r="AL13" s="5">
        <f>AL8*'Key Business Variables'!$C$32/100</f>
        <v>0</v>
      </c>
      <c r="AM13" s="5">
        <f>AM8*'Key Business Variables'!$C$32/100</f>
        <v>0</v>
      </c>
      <c r="AN13" s="5">
        <f>AN8*'Key Business Variables'!$C$32/100</f>
        <v>0</v>
      </c>
      <c r="AO13" s="5">
        <f>AO8*'Key Business Variables'!$C$32/100</f>
        <v>0</v>
      </c>
      <c r="AP13" s="5">
        <f>AP8*'Key Business Variables'!$C$32/100</f>
        <v>0</v>
      </c>
      <c r="AQ13" s="5">
        <f>AQ8*'Key Business Variables'!$C$32/100</f>
        <v>0</v>
      </c>
      <c r="AR13" s="5">
        <f>AR8*'Key Business Variables'!$C$32/100</f>
        <v>0</v>
      </c>
      <c r="AS13" s="5">
        <f>AS8*'Key Business Variables'!$C$32/100</f>
        <v>0</v>
      </c>
      <c r="AT13" s="5">
        <f>AT8*'Key Business Variables'!$C$32/100</f>
        <v>0</v>
      </c>
      <c r="AU13" s="5">
        <f>AU8*'Key Business Variables'!$C$32/100</f>
        <v>0</v>
      </c>
      <c r="AV13" s="5">
        <f>AV8*'Key Business Variables'!$C$32/100</f>
        <v>0</v>
      </c>
      <c r="AW13" s="74">
        <f>AW8*'Key Business Variables'!$C$32/100</f>
        <v>0</v>
      </c>
      <c r="AX13" s="74">
        <f>AX8*'Key Business Variables'!$C$32/100</f>
        <v>0</v>
      </c>
    </row>
    <row r="14" spans="1:50" hidden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idden="1" x14ac:dyDescent="0.25">
      <c r="A15" s="11" t="s">
        <v>72</v>
      </c>
      <c r="B15" s="11"/>
      <c r="C15" s="39">
        <f>(C12*'Key Business Variables'!$C$6)</f>
        <v>0</v>
      </c>
      <c r="D15" s="39">
        <f>(D12*'Key Business Variables'!$C$6)</f>
        <v>0</v>
      </c>
      <c r="E15" s="39">
        <f>(E12*'Key Business Variables'!$C$6)</f>
        <v>0</v>
      </c>
      <c r="F15" s="39">
        <f>(F12*'Key Business Variables'!$C$6)</f>
        <v>0</v>
      </c>
      <c r="G15" s="39">
        <f>(G12*'Key Business Variables'!$C$6)</f>
        <v>0</v>
      </c>
      <c r="H15" s="39">
        <f>(H12*'Key Business Variables'!$C$6)</f>
        <v>0</v>
      </c>
      <c r="I15" s="39">
        <f>(I12*'Key Business Variables'!$C$6)</f>
        <v>0</v>
      </c>
      <c r="J15" s="39">
        <f>(J12*'Key Business Variables'!$C$6)</f>
        <v>0</v>
      </c>
      <c r="K15" s="39">
        <f>(K12*'Key Business Variables'!$C$6)</f>
        <v>0</v>
      </c>
      <c r="L15" s="39">
        <f>(L12*'Key Business Variables'!$C$6)</f>
        <v>0</v>
      </c>
      <c r="M15" s="39">
        <f>(M12*'Key Business Variables'!$C$6)</f>
        <v>0</v>
      </c>
      <c r="N15" s="39">
        <f>(N12*'Key Business Variables'!$C$6)</f>
        <v>0</v>
      </c>
      <c r="O15" s="39">
        <f>(O12*'Key Business Variables'!$C$6)</f>
        <v>0</v>
      </c>
      <c r="P15" s="39">
        <f>(P12*'Key Business Variables'!$C$6)</f>
        <v>0</v>
      </c>
      <c r="Q15" s="39">
        <f>(Q12*'Key Business Variables'!$C$6)</f>
        <v>0</v>
      </c>
      <c r="R15" s="39">
        <f>(R12*'Key Business Variables'!$C$6)</f>
        <v>0</v>
      </c>
      <c r="S15" s="39">
        <f>(S12*'Key Business Variables'!$C$6)</f>
        <v>0</v>
      </c>
      <c r="T15" s="39">
        <f>(T12*'Key Business Variables'!$C$6)</f>
        <v>0</v>
      </c>
      <c r="U15" s="39">
        <f>(U12*'Key Business Variables'!$C$6)</f>
        <v>0</v>
      </c>
      <c r="V15" s="39">
        <f>(V12*'Key Business Variables'!$C$6)</f>
        <v>0</v>
      </c>
      <c r="W15" s="39">
        <f>(W12*'Key Business Variables'!$C$6)</f>
        <v>0</v>
      </c>
      <c r="X15" s="39">
        <f>(X12*'Key Business Variables'!$C$6)</f>
        <v>0</v>
      </c>
      <c r="Y15" s="39">
        <f>(Y12*'Key Business Variables'!$C$6)</f>
        <v>0</v>
      </c>
      <c r="Z15" s="39">
        <f>(Z12*'Key Business Variables'!$C$6)</f>
        <v>0</v>
      </c>
      <c r="AA15" s="39">
        <f>(AA12*'Key Business Variables'!$C$6)</f>
        <v>0</v>
      </c>
      <c r="AB15" s="39">
        <f>(AB12*'Key Business Variables'!$C$6)</f>
        <v>0</v>
      </c>
      <c r="AC15" s="39">
        <f>(AC12*'Key Business Variables'!$C$6)</f>
        <v>0</v>
      </c>
      <c r="AD15" s="39">
        <f>(AD12*'Key Business Variables'!$C$6)</f>
        <v>0</v>
      </c>
      <c r="AE15" s="39">
        <f>(AE12*'Key Business Variables'!$C$6)</f>
        <v>0</v>
      </c>
      <c r="AF15" s="39">
        <f>(AF12*'Key Business Variables'!$C$6)</f>
        <v>0</v>
      </c>
      <c r="AG15" s="39">
        <f>(AG12*'Key Business Variables'!$C$6)</f>
        <v>0</v>
      </c>
      <c r="AH15" s="39">
        <f>(AH12*'Key Business Variables'!$C$6)</f>
        <v>0</v>
      </c>
      <c r="AI15" s="39">
        <f>(AI12*'Key Business Variables'!$C$6)</f>
        <v>0</v>
      </c>
      <c r="AJ15" s="39">
        <f>(AJ12*'Key Business Variables'!$C$6)</f>
        <v>0</v>
      </c>
      <c r="AK15" s="39">
        <f>(AK12*'Key Business Variables'!$C$6)</f>
        <v>0</v>
      </c>
      <c r="AL15" s="39">
        <f>(AL12*'Key Business Variables'!$C$6)</f>
        <v>0</v>
      </c>
      <c r="AM15" s="39">
        <f>(AM12*'Key Business Variables'!$C$6)</f>
        <v>0</v>
      </c>
      <c r="AN15" s="39">
        <f>(AN12*'Key Business Variables'!$C$6)</f>
        <v>0</v>
      </c>
      <c r="AO15" s="39">
        <f>(AO12*'Key Business Variables'!$C$6)</f>
        <v>0</v>
      </c>
      <c r="AP15" s="39">
        <f>(AP12*'Key Business Variables'!$C$6)</f>
        <v>0</v>
      </c>
      <c r="AQ15" s="39">
        <f>(AQ12*'Key Business Variables'!$C$6)</f>
        <v>0</v>
      </c>
      <c r="AR15" s="39">
        <f>(AR12*'Key Business Variables'!$C$6)</f>
        <v>0</v>
      </c>
      <c r="AS15" s="39">
        <f>(AS12*'Key Business Variables'!$C$6)</f>
        <v>0</v>
      </c>
      <c r="AT15" s="39">
        <f>(AT12*'Key Business Variables'!$C$6)</f>
        <v>0</v>
      </c>
      <c r="AU15" s="39">
        <f>(AU12*'Key Business Variables'!$C$6)</f>
        <v>0</v>
      </c>
      <c r="AV15" s="39">
        <f>(AV12*'Key Business Variables'!$C$6)</f>
        <v>0</v>
      </c>
      <c r="AW15" s="39">
        <f>(AW12*'Key Business Variables'!$C$6)</f>
        <v>0</v>
      </c>
      <c r="AX15" s="39">
        <f>(AX12*'Key Business Variables'!$C$6)</f>
        <v>0</v>
      </c>
    </row>
    <row r="16" spans="1:50" hidden="1" x14ac:dyDescent="0.25">
      <c r="A16" s="11" t="s">
        <v>73</v>
      </c>
      <c r="B16" s="11"/>
      <c r="C16" s="39">
        <f>(C13*'Key Business Variables'!$C$6)</f>
        <v>0</v>
      </c>
      <c r="D16" s="39">
        <f>(D13*'Key Business Variables'!$C$6)</f>
        <v>0</v>
      </c>
      <c r="E16" s="39">
        <f>(E13*'Key Business Variables'!$C$6)</f>
        <v>0</v>
      </c>
      <c r="F16" s="39">
        <f>(F13*'Key Business Variables'!$C$6)</f>
        <v>0</v>
      </c>
      <c r="G16" s="39">
        <f>(G13*'Key Business Variables'!$C$6)</f>
        <v>0</v>
      </c>
      <c r="H16" s="39">
        <f>(H13*'Key Business Variables'!$C$6)</f>
        <v>0</v>
      </c>
      <c r="I16" s="39">
        <f>(I13*'Key Business Variables'!$C$6)</f>
        <v>0</v>
      </c>
      <c r="J16" s="39">
        <f>(J13*'Key Business Variables'!$C$6)</f>
        <v>0</v>
      </c>
      <c r="K16" s="39">
        <f>(K13*'Key Business Variables'!$C$6)</f>
        <v>0</v>
      </c>
      <c r="L16" s="39">
        <f>(L13*'Key Business Variables'!$C$6)</f>
        <v>0</v>
      </c>
      <c r="M16" s="39">
        <f>(M13*'Key Business Variables'!$C$6)</f>
        <v>0</v>
      </c>
      <c r="N16" s="39">
        <f>(N13*'Key Business Variables'!$C$6)</f>
        <v>0</v>
      </c>
      <c r="O16" s="39">
        <f>(O13*'Key Business Variables'!$C$6)</f>
        <v>0</v>
      </c>
      <c r="P16" s="39">
        <f>(P13*'Key Business Variables'!$C$6)</f>
        <v>0</v>
      </c>
      <c r="Q16" s="39">
        <f>(Q13*'Key Business Variables'!$C$6)</f>
        <v>0</v>
      </c>
      <c r="R16" s="39">
        <f>(R13*'Key Business Variables'!$C$6)</f>
        <v>0</v>
      </c>
      <c r="S16" s="39">
        <f>(S13*'Key Business Variables'!$C$6)</f>
        <v>0</v>
      </c>
      <c r="T16" s="39">
        <f>(T13*'Key Business Variables'!$C$6)</f>
        <v>0</v>
      </c>
      <c r="U16" s="39">
        <f>(U13*'Key Business Variables'!$C$6)</f>
        <v>0</v>
      </c>
      <c r="V16" s="39">
        <f>(V13*'Key Business Variables'!$C$6)</f>
        <v>0</v>
      </c>
      <c r="W16" s="39">
        <f>(W13*'Key Business Variables'!$C$6)</f>
        <v>0</v>
      </c>
      <c r="X16" s="39">
        <f>(X13*'Key Business Variables'!$C$6)</f>
        <v>0</v>
      </c>
      <c r="Y16" s="39">
        <f>(Y13*'Key Business Variables'!$C$6)</f>
        <v>0</v>
      </c>
      <c r="Z16" s="39">
        <f>(Z13*'Key Business Variables'!$C$6)</f>
        <v>0</v>
      </c>
      <c r="AA16" s="39">
        <f>(AA13*'Key Business Variables'!$C$6)</f>
        <v>0</v>
      </c>
      <c r="AB16" s="39">
        <f>(AB13*'Key Business Variables'!$C$6)</f>
        <v>0</v>
      </c>
      <c r="AC16" s="39">
        <f>(AC13*'Key Business Variables'!$C$6)</f>
        <v>0</v>
      </c>
      <c r="AD16" s="39">
        <f>(AD13*'Key Business Variables'!$C$6)</f>
        <v>0</v>
      </c>
      <c r="AE16" s="39">
        <f>(AE13*'Key Business Variables'!$C$6)</f>
        <v>0</v>
      </c>
      <c r="AF16" s="39">
        <f>(AF13*'Key Business Variables'!$C$6)</f>
        <v>0</v>
      </c>
      <c r="AG16" s="39">
        <f>(AG13*'Key Business Variables'!$C$6)</f>
        <v>0</v>
      </c>
      <c r="AH16" s="39">
        <f>(AH13*'Key Business Variables'!$C$6)</f>
        <v>0</v>
      </c>
      <c r="AI16" s="39">
        <f>(AI13*'Key Business Variables'!$C$6)</f>
        <v>0</v>
      </c>
      <c r="AJ16" s="39">
        <f>(AJ13*'Key Business Variables'!$C$6)</f>
        <v>0</v>
      </c>
      <c r="AK16" s="39">
        <f>(AK13*'Key Business Variables'!$C$6)</f>
        <v>0</v>
      </c>
      <c r="AL16" s="39">
        <f>(AL13*'Key Business Variables'!$C$6)</f>
        <v>0</v>
      </c>
      <c r="AM16" s="39">
        <f>(AM13*'Key Business Variables'!$C$6)</f>
        <v>0</v>
      </c>
      <c r="AN16" s="39">
        <f>(AN13*'Key Business Variables'!$C$6)</f>
        <v>0</v>
      </c>
      <c r="AO16" s="39">
        <f>(AO13*'Key Business Variables'!$C$6)</f>
        <v>0</v>
      </c>
      <c r="AP16" s="39">
        <f>(AP13*'Key Business Variables'!$C$6)</f>
        <v>0</v>
      </c>
      <c r="AQ16" s="39">
        <f>(AQ13*'Key Business Variables'!$C$6)</f>
        <v>0</v>
      </c>
      <c r="AR16" s="39">
        <f>(AR13*'Key Business Variables'!$C$6)</f>
        <v>0</v>
      </c>
      <c r="AS16" s="39">
        <f>(AS13*'Key Business Variables'!$C$6)</f>
        <v>0</v>
      </c>
      <c r="AT16" s="39">
        <f>(AT13*'Key Business Variables'!$C$6)</f>
        <v>0</v>
      </c>
      <c r="AU16" s="39">
        <f>(AU13*'Key Business Variables'!$C$6)</f>
        <v>0</v>
      </c>
      <c r="AV16" s="39">
        <f>(AV13*'Key Business Variables'!$C$6)</f>
        <v>0</v>
      </c>
      <c r="AW16" s="39">
        <f>(AW13*'Key Business Variables'!$C$6)</f>
        <v>0</v>
      </c>
      <c r="AX16" s="39">
        <f>(AX13*'Key Business Variables'!$C$6)</f>
        <v>0</v>
      </c>
    </row>
    <row r="17" spans="1:50" hidden="1" x14ac:dyDescent="0.25">
      <c r="A17" s="11"/>
      <c r="B17" s="11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</row>
    <row r="18" spans="1:50" hidden="1" x14ac:dyDescent="0.25">
      <c r="A18" s="11" t="s">
        <v>50</v>
      </c>
      <c r="B18" s="11"/>
      <c r="C18" s="61">
        <f>C4*'Key Business Variables'!$C$6*'Key Business Variables'!$C$14</f>
        <v>125000</v>
      </c>
      <c r="D18" s="61">
        <f>D4*'Key Business Variables'!$C$6*'Key Business Variables'!$C$14</f>
        <v>125000</v>
      </c>
      <c r="E18" s="61">
        <f>E4*'Key Business Variables'!$C$6*'Key Business Variables'!$C$14</f>
        <v>125000</v>
      </c>
      <c r="F18" s="61">
        <f>F4*'Key Business Variables'!$C$6*'Key Business Variables'!$C$14</f>
        <v>125000</v>
      </c>
      <c r="G18" s="61">
        <f>G4*'Key Business Variables'!$C$6*'Key Business Variables'!$C$14</f>
        <v>125000</v>
      </c>
      <c r="H18" s="61">
        <f>H4*'Key Business Variables'!$C$6*'Key Business Variables'!$C$14</f>
        <v>125000</v>
      </c>
      <c r="I18" s="61">
        <f>I4*'Key Business Variables'!$C$6*'Key Business Variables'!$C$14</f>
        <v>125000</v>
      </c>
      <c r="J18" s="61">
        <f>J4*'Key Business Variables'!$C$6*'Key Business Variables'!$C$14</f>
        <v>125000</v>
      </c>
      <c r="K18" s="61">
        <f>K4*'Key Business Variables'!$C$6*'Key Business Variables'!$C$14</f>
        <v>125000</v>
      </c>
      <c r="L18" s="61">
        <f>L4*'Key Business Variables'!$C$6*'Key Business Variables'!$C$14</f>
        <v>125000</v>
      </c>
      <c r="M18" s="61">
        <f>M4*'Key Business Variables'!$C$6*'Key Business Variables'!$C$14</f>
        <v>125000</v>
      </c>
      <c r="N18" s="61">
        <f>N4*'Key Business Variables'!$C$6*'Key Business Variables'!$C$14</f>
        <v>125000</v>
      </c>
      <c r="O18" s="61">
        <f>O4*'Key Business Variables'!$C$6*'Key Business Variables'!$C$14</f>
        <v>125000</v>
      </c>
      <c r="P18" s="61">
        <f>P4*'Key Business Variables'!$C$6*'Key Business Variables'!$C$14</f>
        <v>125000</v>
      </c>
      <c r="Q18" s="61">
        <f>Q4*'Key Business Variables'!$C$6*'Key Business Variables'!$C$14</f>
        <v>125000</v>
      </c>
      <c r="R18" s="61">
        <f>R4*'Key Business Variables'!$C$6*'Key Business Variables'!$C$14</f>
        <v>125000</v>
      </c>
      <c r="S18" s="61">
        <f>S4*'Key Business Variables'!$C$6*'Key Business Variables'!$C$14</f>
        <v>125000</v>
      </c>
      <c r="T18" s="61">
        <f>T4*'Key Business Variables'!$C$6*'Key Business Variables'!$C$14</f>
        <v>125000</v>
      </c>
      <c r="U18" s="61">
        <f>U4*'Key Business Variables'!$C$6*'Key Business Variables'!$C$14</f>
        <v>125000</v>
      </c>
      <c r="V18" s="61">
        <f>V4*'Key Business Variables'!$C$6*'Key Business Variables'!$C$14</f>
        <v>125000</v>
      </c>
      <c r="W18" s="61">
        <f>W4*'Key Business Variables'!$C$6*'Key Business Variables'!$C$14</f>
        <v>125000</v>
      </c>
      <c r="X18" s="61">
        <f>X4*'Key Business Variables'!$C$6*'Key Business Variables'!$C$14</f>
        <v>125000</v>
      </c>
      <c r="Y18" s="61">
        <f>Y4*'Key Business Variables'!$C$6*'Key Business Variables'!$C$14</f>
        <v>125000</v>
      </c>
      <c r="Z18" s="61">
        <f>Z4*'Key Business Variables'!$C$6*'Key Business Variables'!$C$14</f>
        <v>125000</v>
      </c>
      <c r="AA18" s="61">
        <f>AA4*'Key Business Variables'!$C$6*'Key Business Variables'!$C$14</f>
        <v>125000</v>
      </c>
      <c r="AB18" s="61">
        <f>AB4*'Key Business Variables'!$C$6*'Key Business Variables'!$C$14</f>
        <v>125000</v>
      </c>
      <c r="AC18" s="61">
        <f>AC4*'Key Business Variables'!$C$6*'Key Business Variables'!$C$14</f>
        <v>125000</v>
      </c>
      <c r="AD18" s="61">
        <f>AD4*'Key Business Variables'!$C$6*'Key Business Variables'!$C$14</f>
        <v>125000</v>
      </c>
      <c r="AE18" s="61">
        <f>AE4*'Key Business Variables'!$C$6*'Key Business Variables'!$C$14</f>
        <v>125000</v>
      </c>
      <c r="AF18" s="61">
        <f>AF4*'Key Business Variables'!$C$6*'Key Business Variables'!$C$14</f>
        <v>125000</v>
      </c>
      <c r="AG18" s="61">
        <f>AG4*'Key Business Variables'!$C$6*'Key Business Variables'!$C$14</f>
        <v>125000</v>
      </c>
      <c r="AH18" s="61">
        <f>AH4*'Key Business Variables'!$C$6*'Key Business Variables'!$C$14</f>
        <v>125000</v>
      </c>
      <c r="AI18" s="61">
        <f>AI4*'Key Business Variables'!$C$6*'Key Business Variables'!$C$14</f>
        <v>125000</v>
      </c>
      <c r="AJ18" s="61">
        <f>AJ4*'Key Business Variables'!$C$6*'Key Business Variables'!$C$14</f>
        <v>125000</v>
      </c>
      <c r="AK18" s="61">
        <f>AK4*'Key Business Variables'!$C$6*'Key Business Variables'!$C$14</f>
        <v>125000</v>
      </c>
      <c r="AL18" s="61">
        <f>AL4*'Key Business Variables'!$C$6*'Key Business Variables'!$C$14</f>
        <v>125000</v>
      </c>
      <c r="AM18" s="61">
        <f>AM4*'Key Business Variables'!$C$6*'Key Business Variables'!$C$14</f>
        <v>125000</v>
      </c>
      <c r="AN18" s="61">
        <f>AN4*'Key Business Variables'!$C$6*'Key Business Variables'!$C$14</f>
        <v>125000</v>
      </c>
      <c r="AO18" s="61">
        <f>AO4*'Key Business Variables'!$C$6*'Key Business Variables'!$C$14</f>
        <v>125000</v>
      </c>
      <c r="AP18" s="61">
        <f>AP4*'Key Business Variables'!$C$6*'Key Business Variables'!$C$14</f>
        <v>125000</v>
      </c>
      <c r="AQ18" s="61">
        <f>AQ4*'Key Business Variables'!$C$6*'Key Business Variables'!$C$14</f>
        <v>125000</v>
      </c>
      <c r="AR18" s="61">
        <f>AR4*'Key Business Variables'!$C$6*'Key Business Variables'!$C$14</f>
        <v>125000</v>
      </c>
      <c r="AS18" s="61">
        <f>AS4*'Key Business Variables'!$C$6*'Key Business Variables'!$C$14</f>
        <v>125000</v>
      </c>
      <c r="AT18" s="61">
        <f>AT4*'Key Business Variables'!$C$6*'Key Business Variables'!$C$14</f>
        <v>125000</v>
      </c>
      <c r="AU18" s="61">
        <f>AU4*'Key Business Variables'!$C$6*'Key Business Variables'!$C$14</f>
        <v>125000</v>
      </c>
      <c r="AV18" s="61">
        <f>AV4*'Key Business Variables'!$C$6*'Key Business Variables'!$C$14</f>
        <v>125000</v>
      </c>
      <c r="AW18" s="61">
        <f>AW4*'Key Business Variables'!$C$6*'Key Business Variables'!$C$14</f>
        <v>125000</v>
      </c>
      <c r="AX18" s="61">
        <f>AX4*'Key Business Variables'!$C$6*'Key Business Variables'!$C$14</f>
        <v>125000</v>
      </c>
    </row>
    <row r="19" spans="1:50" s="33" customFormat="1" hidden="1" x14ac:dyDescent="0.25">
      <c r="A19" s="11" t="s">
        <v>58</v>
      </c>
      <c r="B19" s="1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>
        <f>C7*'Key Business Variables'!$C$14*'Key Business Variables'!$C$21*'Key Business Variables'!$C$6/12</f>
        <v>1875</v>
      </c>
      <c r="P19" s="61">
        <f>D7*'Key Business Variables'!$C$14*'Key Business Variables'!$C$21*'Key Business Variables'!$C$6/12</f>
        <v>3750</v>
      </c>
      <c r="Q19" s="61">
        <f>E7*'Key Business Variables'!$C$14*'Key Business Variables'!$C$21*'Key Business Variables'!$C$6/12</f>
        <v>5625</v>
      </c>
      <c r="R19" s="61">
        <f>F7*'Key Business Variables'!$C$14*'Key Business Variables'!$C$21*'Key Business Variables'!$C$6/12</f>
        <v>7500</v>
      </c>
      <c r="S19" s="61">
        <f>G7*'Key Business Variables'!$C$14*'Key Business Variables'!$C$21*'Key Business Variables'!$C$6/12</f>
        <v>9375</v>
      </c>
      <c r="T19" s="61">
        <f>H7*'Key Business Variables'!$C$14*'Key Business Variables'!$C$21*'Key Business Variables'!$C$6/12</f>
        <v>11250</v>
      </c>
      <c r="U19" s="61">
        <f>I7*'Key Business Variables'!$C$14*'Key Business Variables'!$C$21*'Key Business Variables'!$C$6/12</f>
        <v>13125</v>
      </c>
      <c r="V19" s="61">
        <f>J7*'Key Business Variables'!$C$14*'Key Business Variables'!$C$21*'Key Business Variables'!$C$6/12</f>
        <v>14999.999999999998</v>
      </c>
      <c r="W19" s="61">
        <f>K7*'Key Business Variables'!$C$14*'Key Business Variables'!$C$21*'Key Business Variables'!$C$6/12</f>
        <v>16874.999999999996</v>
      </c>
      <c r="X19" s="61">
        <f>L7*'Key Business Variables'!$C$14*'Key Business Variables'!$C$21*'Key Business Variables'!$C$6/12</f>
        <v>18749.999999999996</v>
      </c>
      <c r="Y19" s="61">
        <f>M7*'Key Business Variables'!$C$14*'Key Business Variables'!$C$21*'Key Business Variables'!$C$6/12</f>
        <v>20624.999999999996</v>
      </c>
      <c r="Z19" s="61">
        <f>N7*'Key Business Variables'!$C$14*'Key Business Variables'!$C$21*'Key Business Variables'!$C$6/12</f>
        <v>22500</v>
      </c>
      <c r="AA19" s="61">
        <f>O7*'Key Business Variables'!$C$14*'Key Business Variables'!$C$21*'Key Business Variables'!$C$6/12</f>
        <v>24375</v>
      </c>
      <c r="AB19" s="61">
        <f>P7*'Key Business Variables'!$C$14*'Key Business Variables'!$C$21*'Key Business Variables'!$C$6/12</f>
        <v>26250</v>
      </c>
      <c r="AC19" s="61">
        <f>Q7*'Key Business Variables'!$C$14*'Key Business Variables'!$C$21*'Key Business Variables'!$C$6/12</f>
        <v>28125.000000000004</v>
      </c>
      <c r="AD19" s="61">
        <f>R7*'Key Business Variables'!$C$14*'Key Business Variables'!$C$21*'Key Business Variables'!$C$6/12</f>
        <v>30000.000000000004</v>
      </c>
      <c r="AE19" s="61">
        <f>S7*'Key Business Variables'!$C$14*'Key Business Variables'!$C$21*'Key Business Variables'!$C$6/12</f>
        <v>31875.000000000004</v>
      </c>
      <c r="AF19" s="61">
        <f>T7*'Key Business Variables'!$C$14*'Key Business Variables'!$C$21*'Key Business Variables'!$C$6/12</f>
        <v>33750.000000000007</v>
      </c>
      <c r="AG19" s="61">
        <f>U7*'Key Business Variables'!$C$14*'Key Business Variables'!$C$21*'Key Business Variables'!$C$6/12</f>
        <v>35625.000000000007</v>
      </c>
      <c r="AH19" s="61">
        <f>V7*'Key Business Variables'!$C$14*'Key Business Variables'!$C$21*'Key Business Variables'!$C$6/12</f>
        <v>37500.000000000007</v>
      </c>
      <c r="AI19" s="61">
        <f>W7*'Key Business Variables'!$C$14*'Key Business Variables'!$C$21*'Key Business Variables'!$C$6/12</f>
        <v>39375.000000000007</v>
      </c>
      <c r="AJ19" s="61">
        <f>X7*'Key Business Variables'!$C$14*'Key Business Variables'!$C$21*'Key Business Variables'!$C$6/12</f>
        <v>41250.000000000007</v>
      </c>
      <c r="AK19" s="61">
        <f>Y7*'Key Business Variables'!$C$14*'Key Business Variables'!$C$21*'Key Business Variables'!$C$6/12</f>
        <v>43125</v>
      </c>
      <c r="AL19" s="61">
        <f>Z7*'Key Business Variables'!$C$14*'Key Business Variables'!$C$21*'Key Business Variables'!$C$6/12</f>
        <v>45000</v>
      </c>
      <c r="AM19" s="61">
        <f>AA7*'Key Business Variables'!$C$14*'Key Business Variables'!$C$21*'Key Business Variables'!$C$6/12</f>
        <v>46874.999999999993</v>
      </c>
      <c r="AN19" s="61">
        <f>AB7*'Key Business Variables'!$C$14*'Key Business Variables'!$C$21*'Key Business Variables'!$C$6/12</f>
        <v>48749.999999999993</v>
      </c>
      <c r="AO19" s="61">
        <f>AC7*'Key Business Variables'!$C$14*'Key Business Variables'!$C$21*'Key Business Variables'!$C$6/12</f>
        <v>50624.999999999993</v>
      </c>
      <c r="AP19" s="61">
        <f>AD7*'Key Business Variables'!$C$14*'Key Business Variables'!$C$21*'Key Business Variables'!$C$6/12</f>
        <v>52499.999999999993</v>
      </c>
      <c r="AQ19" s="61">
        <f>AE7*'Key Business Variables'!$C$14*'Key Business Variables'!$C$21*'Key Business Variables'!$C$6/12</f>
        <v>54374.999999999993</v>
      </c>
      <c r="AR19" s="61">
        <f>AF7*'Key Business Variables'!$C$14*'Key Business Variables'!$C$21*'Key Business Variables'!$C$6/12</f>
        <v>56249.999999999978</v>
      </c>
      <c r="AS19" s="61">
        <f>AG7*'Key Business Variables'!$C$14*'Key Business Variables'!$C$21*'Key Business Variables'!$C$6/12</f>
        <v>58124.999999999978</v>
      </c>
      <c r="AT19" s="61">
        <f>AH7*'Key Business Variables'!$C$14*'Key Business Variables'!$C$21*'Key Business Variables'!$C$6/12</f>
        <v>59999.999999999978</v>
      </c>
      <c r="AU19" s="61">
        <f>AI7*'Key Business Variables'!$C$14*'Key Business Variables'!$C$21*'Key Business Variables'!$C$6/12</f>
        <v>61874.999999999978</v>
      </c>
      <c r="AV19" s="61">
        <f>AJ7*'Key Business Variables'!$C$14*'Key Business Variables'!$C$21*'Key Business Variables'!$C$6/12</f>
        <v>63749.999999999964</v>
      </c>
      <c r="AW19" s="61">
        <f>AK7*'Key Business Variables'!$C$14*'Key Business Variables'!$C$21*'Key Business Variables'!$C$6/12</f>
        <v>65624.999999999956</v>
      </c>
      <c r="AX19" s="61">
        <f>AL7*'Key Business Variables'!$C$14*'Key Business Variables'!$C$21*'Key Business Variables'!$C$6/12</f>
        <v>67499.999999999956</v>
      </c>
    </row>
    <row r="20" spans="1:50" hidden="1" x14ac:dyDescent="0.25">
      <c r="A20" s="11" t="s">
        <v>51</v>
      </c>
      <c r="B20" s="11"/>
      <c r="C20" s="61">
        <f>C4*'Key Business Variables'!$C$12</f>
        <v>375000</v>
      </c>
      <c r="D20" s="61">
        <f>D4*'Key Business Variables'!$C$12</f>
        <v>375000</v>
      </c>
      <c r="E20" s="61">
        <f>E4*'Key Business Variables'!$C$12</f>
        <v>375000</v>
      </c>
      <c r="F20" s="61">
        <f>F4*'Key Business Variables'!$C$12</f>
        <v>375000</v>
      </c>
      <c r="G20" s="61">
        <f>G4*'Key Business Variables'!$C$12</f>
        <v>375000</v>
      </c>
      <c r="H20" s="61">
        <f>H4*'Key Business Variables'!$C$12</f>
        <v>375000</v>
      </c>
      <c r="I20" s="61">
        <f>I4*'Key Business Variables'!$C$12</f>
        <v>375000</v>
      </c>
      <c r="J20" s="61">
        <f>J4*'Key Business Variables'!$C$12</f>
        <v>375000</v>
      </c>
      <c r="K20" s="61">
        <f>K4*'Key Business Variables'!$C$12</f>
        <v>375000</v>
      </c>
      <c r="L20" s="61">
        <f>L4*'Key Business Variables'!$C$12</f>
        <v>375000</v>
      </c>
      <c r="M20" s="61">
        <f>M4*'Key Business Variables'!$C$12</f>
        <v>375000</v>
      </c>
      <c r="N20" s="61">
        <f>N4*'Key Business Variables'!$C$12</f>
        <v>375000</v>
      </c>
      <c r="O20" s="61">
        <f>(O4*'Key Business Variables'!$C$12)+(C7*'Key Business Variables'!$C$13/12)</f>
        <v>378125</v>
      </c>
      <c r="P20" s="61">
        <f>(P4*'Key Business Variables'!$C$12)+(D7*'Key Business Variables'!$C$13/12)</f>
        <v>381250</v>
      </c>
      <c r="Q20" s="61">
        <f>(Q4*'Key Business Variables'!$C$12)+(E7*'Key Business Variables'!$C$13/12)</f>
        <v>384375</v>
      </c>
      <c r="R20" s="61">
        <f>(R4*'Key Business Variables'!$C$12)+(F7*'Key Business Variables'!$C$13/12)</f>
        <v>387500</v>
      </c>
      <c r="S20" s="61">
        <f>(S4*'Key Business Variables'!$C$12)+(G7*'Key Business Variables'!$C$13/12)</f>
        <v>390625</v>
      </c>
      <c r="T20" s="61">
        <f>(T4*'Key Business Variables'!$C$12)+(H7*'Key Business Variables'!$C$13/12)</f>
        <v>393750</v>
      </c>
      <c r="U20" s="61">
        <f>(U4*'Key Business Variables'!$C$12)+(I7*'Key Business Variables'!$C$13/12)</f>
        <v>396875</v>
      </c>
      <c r="V20" s="61">
        <f>(V4*'Key Business Variables'!$C$12)+(J7*'Key Business Variables'!$C$13/12)</f>
        <v>400000</v>
      </c>
      <c r="W20" s="61">
        <f>(W4*'Key Business Variables'!$C$12)+(K7*'Key Business Variables'!$C$13/12)</f>
        <v>403125</v>
      </c>
      <c r="X20" s="61">
        <f>(X4*'Key Business Variables'!$C$12)+(L7*'Key Business Variables'!$C$13/12)</f>
        <v>406250</v>
      </c>
      <c r="Y20" s="61">
        <f>(Y4*'Key Business Variables'!$C$12)+(M7*'Key Business Variables'!$C$13/12)</f>
        <v>409375</v>
      </c>
      <c r="Z20" s="61">
        <f>(Z4*'Key Business Variables'!$C$12)+(N7*'Key Business Variables'!$C$13/12)</f>
        <v>412500</v>
      </c>
      <c r="AA20" s="61">
        <f>(AA4*'Key Business Variables'!$C$12)+(O7*'Key Business Variables'!$C$13/12)</f>
        <v>415625</v>
      </c>
      <c r="AB20" s="61">
        <f>(AB4*'Key Business Variables'!$C$12)+(P7*'Key Business Variables'!$C$13/12)</f>
        <v>418750</v>
      </c>
      <c r="AC20" s="61">
        <f>(AC4*'Key Business Variables'!$C$12)+(Q7*'Key Business Variables'!$C$13/12)</f>
        <v>421875</v>
      </c>
      <c r="AD20" s="61">
        <f>(AD4*'Key Business Variables'!$C$12)+(R7*'Key Business Variables'!$C$13/12)</f>
        <v>425000</v>
      </c>
      <c r="AE20" s="61">
        <f>(AE4*'Key Business Variables'!$C$12)+(S7*'Key Business Variables'!$C$13/12)</f>
        <v>428125</v>
      </c>
      <c r="AF20" s="61">
        <f>(AF4*'Key Business Variables'!$C$12)+(T7*'Key Business Variables'!$C$13/12)</f>
        <v>431250</v>
      </c>
      <c r="AG20" s="61">
        <f>(AG4*'Key Business Variables'!$C$12)+(U7*'Key Business Variables'!$C$13/12)</f>
        <v>434375</v>
      </c>
      <c r="AH20" s="61">
        <f>(AH4*'Key Business Variables'!$C$12)+(V7*'Key Business Variables'!$C$13/12)</f>
        <v>437500</v>
      </c>
      <c r="AI20" s="61">
        <f>(AI4*'Key Business Variables'!$C$12)+(W7*'Key Business Variables'!$C$13/12)</f>
        <v>440625</v>
      </c>
      <c r="AJ20" s="61">
        <f>(AJ4*'Key Business Variables'!$C$12)+(X7*'Key Business Variables'!$C$13/12)</f>
        <v>443750</v>
      </c>
      <c r="AK20" s="61">
        <f>(AK4*'Key Business Variables'!$C$12)+(Y7*'Key Business Variables'!$C$13/12)</f>
        <v>446875</v>
      </c>
      <c r="AL20" s="61">
        <f>(AL4*'Key Business Variables'!$C$12)+(Z7*'Key Business Variables'!$C$13/12)</f>
        <v>450000</v>
      </c>
      <c r="AM20" s="61">
        <f>(AM4*'Key Business Variables'!$C$12)+(AA7*'Key Business Variables'!$C$13/12)</f>
        <v>453125</v>
      </c>
      <c r="AN20" s="61">
        <f>(AN4*'Key Business Variables'!$C$12)+(AB7*'Key Business Variables'!$C$13/12)</f>
        <v>456250</v>
      </c>
      <c r="AO20" s="61">
        <f>(AO4*'Key Business Variables'!$C$12)+(AC7*'Key Business Variables'!$C$13/12)</f>
        <v>459375</v>
      </c>
      <c r="AP20" s="61">
        <f>(AP4*'Key Business Variables'!$C$12)+(AD7*'Key Business Variables'!$C$13/12)</f>
        <v>462500</v>
      </c>
      <c r="AQ20" s="61">
        <f>(AQ4*'Key Business Variables'!$C$12)+(AE7*'Key Business Variables'!$C$13/12)</f>
        <v>465625</v>
      </c>
      <c r="AR20" s="61">
        <f>(AR4*'Key Business Variables'!$C$12)+(AF7*'Key Business Variables'!$C$13/12)</f>
        <v>468750</v>
      </c>
      <c r="AS20" s="61">
        <f>(AS4*'Key Business Variables'!$C$12)+(AG7*'Key Business Variables'!$C$13/12)</f>
        <v>471874.99999999994</v>
      </c>
      <c r="AT20" s="61">
        <f>(AT4*'Key Business Variables'!$C$12)+(AH7*'Key Business Variables'!$C$13/12)</f>
        <v>474999.99999999994</v>
      </c>
      <c r="AU20" s="61">
        <f>(AU4*'Key Business Variables'!$C$12)+(AI7*'Key Business Variables'!$C$13/12)</f>
        <v>478124.99999999994</v>
      </c>
      <c r="AV20" s="61">
        <f>(AV4*'Key Business Variables'!$C$12)+(AJ7*'Key Business Variables'!$C$13/12)</f>
        <v>481249.99999999994</v>
      </c>
      <c r="AW20" s="61">
        <f>(AW4*'Key Business Variables'!$C$12)+(AK7*'Key Business Variables'!$C$13/12)</f>
        <v>484374.99999999994</v>
      </c>
      <c r="AX20" s="61">
        <f>(AX4*'Key Business Variables'!$C$12)+(AL7*'Key Business Variables'!$C$13/12)</f>
        <v>487499.99999999994</v>
      </c>
    </row>
    <row r="21" spans="1:50" hidden="1" x14ac:dyDescent="0.25">
      <c r="A21" s="11" t="s">
        <v>83</v>
      </c>
      <c r="B21" s="11"/>
      <c r="C21" s="61">
        <f>C4*'Key Business Variables'!$C$6*'Key Business Variables'!$C$15*('Key Business Variables'!$C$32/100)</f>
        <v>0</v>
      </c>
      <c r="D21" s="61">
        <f>D4*'Key Business Variables'!$C$6*'Key Business Variables'!$C$15*('Key Business Variables'!$C$32/100)</f>
        <v>0</v>
      </c>
      <c r="E21" s="61">
        <f>E4*'Key Business Variables'!$C$6*'Key Business Variables'!$C$15*('Key Business Variables'!$C$32/100)</f>
        <v>0</v>
      </c>
      <c r="F21" s="61">
        <f>F4*'Key Business Variables'!$C$6*'Key Business Variables'!$C$15*('Key Business Variables'!$C$32/100)</f>
        <v>0</v>
      </c>
      <c r="G21" s="61">
        <f>G4*'Key Business Variables'!$C$6*'Key Business Variables'!$C$15*('Key Business Variables'!$C$32/100)</f>
        <v>0</v>
      </c>
      <c r="H21" s="61">
        <f>H4*'Key Business Variables'!$C$6*'Key Business Variables'!$C$15*('Key Business Variables'!$C$32/100)</f>
        <v>0</v>
      </c>
      <c r="I21" s="61">
        <f>I4*'Key Business Variables'!$C$6*'Key Business Variables'!$C$15*('Key Business Variables'!$C$32/100)</f>
        <v>0</v>
      </c>
      <c r="J21" s="61">
        <f>J4*'Key Business Variables'!$C$6*'Key Business Variables'!$C$15*('Key Business Variables'!$C$32/100)</f>
        <v>0</v>
      </c>
      <c r="K21" s="61">
        <f>K4*'Key Business Variables'!$C$6*'Key Business Variables'!$C$15*('Key Business Variables'!$C$32/100)</f>
        <v>0</v>
      </c>
      <c r="L21" s="61">
        <f>L4*'Key Business Variables'!$C$6*'Key Business Variables'!$C$15*('Key Business Variables'!$C$32/100)</f>
        <v>0</v>
      </c>
      <c r="M21" s="61">
        <f>M4*'Key Business Variables'!$C$6*'Key Business Variables'!$C$15*('Key Business Variables'!$C$32/100)</f>
        <v>0</v>
      </c>
      <c r="N21" s="61">
        <f>N4*'Key Business Variables'!$C$6*'Key Business Variables'!$C$15*('Key Business Variables'!$C$32/100)</f>
        <v>0</v>
      </c>
      <c r="O21" s="61">
        <f>O4*'Key Business Variables'!$C$6*'Key Business Variables'!$C$15*('Key Business Variables'!$C$32/100)</f>
        <v>0</v>
      </c>
      <c r="P21" s="61">
        <f>P4*'Key Business Variables'!$C$6*'Key Business Variables'!$C$15*('Key Business Variables'!$C$32/100)</f>
        <v>0</v>
      </c>
      <c r="Q21" s="61">
        <f>Q4*'Key Business Variables'!$C$6*'Key Business Variables'!$C$15*('Key Business Variables'!$C$32/100)</f>
        <v>0</v>
      </c>
      <c r="R21" s="61">
        <f>R4*'Key Business Variables'!$C$6*'Key Business Variables'!$C$15*('Key Business Variables'!$C$32/100)</f>
        <v>0</v>
      </c>
      <c r="S21" s="61">
        <f>S4*'Key Business Variables'!$C$6*'Key Business Variables'!$C$15*('Key Business Variables'!$C$32/100)</f>
        <v>0</v>
      </c>
      <c r="T21" s="61">
        <f>T4*'Key Business Variables'!$C$6*'Key Business Variables'!$C$15*('Key Business Variables'!$C$32/100)</f>
        <v>0</v>
      </c>
      <c r="U21" s="61">
        <f>U4*'Key Business Variables'!$C$6*'Key Business Variables'!$C$15*('Key Business Variables'!$C$32/100)</f>
        <v>0</v>
      </c>
      <c r="V21" s="61">
        <f>V4*'Key Business Variables'!$C$6*'Key Business Variables'!$C$15*('Key Business Variables'!$C$32/100)</f>
        <v>0</v>
      </c>
      <c r="W21" s="61">
        <f>W4*'Key Business Variables'!$C$6*'Key Business Variables'!$C$15*('Key Business Variables'!$C$32/100)</f>
        <v>0</v>
      </c>
      <c r="X21" s="61">
        <f>X4*'Key Business Variables'!$C$6*'Key Business Variables'!$C$15*('Key Business Variables'!$C$32/100)</f>
        <v>0</v>
      </c>
      <c r="Y21" s="61">
        <f>Y4*'Key Business Variables'!$C$6*'Key Business Variables'!$C$15*('Key Business Variables'!$C$32/100)</f>
        <v>0</v>
      </c>
      <c r="Z21" s="61">
        <f>Z4*'Key Business Variables'!$C$6*'Key Business Variables'!$C$15*('Key Business Variables'!$C$32/100)</f>
        <v>0</v>
      </c>
      <c r="AA21" s="61">
        <f>AA4*'Key Business Variables'!$C$6*'Key Business Variables'!$C$15*('Key Business Variables'!$C$32/100)</f>
        <v>0</v>
      </c>
      <c r="AB21" s="61">
        <f>AB4*'Key Business Variables'!$C$6*'Key Business Variables'!$C$15*('Key Business Variables'!$C$32/100)</f>
        <v>0</v>
      </c>
      <c r="AC21" s="61">
        <f>AC4*'Key Business Variables'!$C$6*'Key Business Variables'!$C$15*('Key Business Variables'!$C$32/100)</f>
        <v>0</v>
      </c>
      <c r="AD21" s="61">
        <f>AD4*'Key Business Variables'!$C$6*'Key Business Variables'!$C$15*('Key Business Variables'!$C$32/100)</f>
        <v>0</v>
      </c>
      <c r="AE21" s="61">
        <f>AE4*'Key Business Variables'!$C$6*'Key Business Variables'!$C$15*('Key Business Variables'!$C$32/100)</f>
        <v>0</v>
      </c>
      <c r="AF21" s="61">
        <f>AF4*'Key Business Variables'!$C$6*'Key Business Variables'!$C$15*('Key Business Variables'!$C$32/100)</f>
        <v>0</v>
      </c>
      <c r="AG21" s="61">
        <f>AG4*'Key Business Variables'!$C$6*'Key Business Variables'!$C$15*('Key Business Variables'!$C$32/100)</f>
        <v>0</v>
      </c>
      <c r="AH21" s="61">
        <f>AH4*'Key Business Variables'!$C$6*'Key Business Variables'!$C$15*('Key Business Variables'!$C$32/100)</f>
        <v>0</v>
      </c>
      <c r="AI21" s="61">
        <f>AI4*'Key Business Variables'!$C$6*'Key Business Variables'!$C$15*('Key Business Variables'!$C$32/100)</f>
        <v>0</v>
      </c>
      <c r="AJ21" s="61">
        <f>AJ4*'Key Business Variables'!$C$6*'Key Business Variables'!$C$15*('Key Business Variables'!$C$32/100)</f>
        <v>0</v>
      </c>
      <c r="AK21" s="61">
        <f>AK4*'Key Business Variables'!$C$6*'Key Business Variables'!$C$15*('Key Business Variables'!$C$32/100)</f>
        <v>0</v>
      </c>
      <c r="AL21" s="61">
        <f>AL4*'Key Business Variables'!$C$6*'Key Business Variables'!$C$15*('Key Business Variables'!$C$32/100)</f>
        <v>0</v>
      </c>
      <c r="AM21" s="61">
        <f>AM4*'Key Business Variables'!$C$6*'Key Business Variables'!$C$15*('Key Business Variables'!$C$32/100)</f>
        <v>0</v>
      </c>
      <c r="AN21" s="61">
        <f>AN4*'Key Business Variables'!$C$6*'Key Business Variables'!$C$15*('Key Business Variables'!$C$32/100)</f>
        <v>0</v>
      </c>
      <c r="AO21" s="61">
        <f>AO4*'Key Business Variables'!$C$6*'Key Business Variables'!$C$15*('Key Business Variables'!$C$32/100)</f>
        <v>0</v>
      </c>
      <c r="AP21" s="61">
        <f>AP4*'Key Business Variables'!$C$6*'Key Business Variables'!$C$15*('Key Business Variables'!$C$32/100)</f>
        <v>0</v>
      </c>
      <c r="AQ21" s="61">
        <f>AQ4*'Key Business Variables'!$C$6*'Key Business Variables'!$C$15*('Key Business Variables'!$C$32/100)</f>
        <v>0</v>
      </c>
      <c r="AR21" s="61">
        <f>AR4*'Key Business Variables'!$C$6*'Key Business Variables'!$C$15*('Key Business Variables'!$C$32/100)</f>
        <v>0</v>
      </c>
      <c r="AS21" s="61">
        <f>AS4*'Key Business Variables'!$C$6*'Key Business Variables'!$C$15*('Key Business Variables'!$C$32/100)</f>
        <v>0</v>
      </c>
      <c r="AT21" s="61">
        <f>AT4*'Key Business Variables'!$C$6*'Key Business Variables'!$C$15*('Key Business Variables'!$C$32/100)</f>
        <v>0</v>
      </c>
      <c r="AU21" s="61">
        <f>AU4*'Key Business Variables'!$C$6*'Key Business Variables'!$C$15*('Key Business Variables'!$C$32/100)</f>
        <v>0</v>
      </c>
      <c r="AV21" s="61">
        <f>AV4*'Key Business Variables'!$C$6*'Key Business Variables'!$C$15*('Key Business Variables'!$C$32/100)</f>
        <v>0</v>
      </c>
      <c r="AW21" s="61">
        <f>AW4*'Key Business Variables'!$C$6*'Key Business Variables'!$C$15*('Key Business Variables'!$C$32/100)</f>
        <v>0</v>
      </c>
      <c r="AX21" s="61">
        <f>AX4*'Key Business Variables'!$C$6*'Key Business Variables'!$C$15*('Key Business Variables'!$C$32/100)</f>
        <v>0</v>
      </c>
    </row>
    <row r="22" spans="1:50" hidden="1" x14ac:dyDescent="0.25">
      <c r="A22" s="11" t="s">
        <v>84</v>
      </c>
      <c r="B22" s="1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>
        <f>C12*'Key Business Variables'!$C$6*'Key Business Variables'!$C$15*'Key Business Variables'!$C$21/12</f>
        <v>0</v>
      </c>
      <c r="P22" s="61">
        <f>D12*'Key Business Variables'!$C$6*'Key Business Variables'!$C$15*'Key Business Variables'!$C$21/12</f>
        <v>0</v>
      </c>
      <c r="Q22" s="61">
        <f>E12*'Key Business Variables'!$C$6*'Key Business Variables'!$C$15*'Key Business Variables'!$C$21/12</f>
        <v>0</v>
      </c>
      <c r="R22" s="61">
        <f>F12*'Key Business Variables'!$C$6*'Key Business Variables'!$C$15*'Key Business Variables'!$C$21/12</f>
        <v>0</v>
      </c>
      <c r="S22" s="61">
        <f>G12*'Key Business Variables'!$C$6*'Key Business Variables'!$C$15*'Key Business Variables'!$C$21/12</f>
        <v>0</v>
      </c>
      <c r="T22" s="61">
        <f>H12*'Key Business Variables'!$C$6*'Key Business Variables'!$C$15*'Key Business Variables'!$C$21/12</f>
        <v>0</v>
      </c>
      <c r="U22" s="61">
        <f>I12*'Key Business Variables'!$C$6*'Key Business Variables'!$C$15*'Key Business Variables'!$C$21/12</f>
        <v>0</v>
      </c>
      <c r="V22" s="61">
        <f>J12*'Key Business Variables'!$C$6*'Key Business Variables'!$C$15*'Key Business Variables'!$C$21/12</f>
        <v>0</v>
      </c>
      <c r="W22" s="61">
        <f>K12*'Key Business Variables'!$C$6*'Key Business Variables'!$C$15*'Key Business Variables'!$C$21/12</f>
        <v>0</v>
      </c>
      <c r="X22" s="61">
        <f>L12*'Key Business Variables'!$C$6*'Key Business Variables'!$C$15*'Key Business Variables'!$C$21/12</f>
        <v>0</v>
      </c>
      <c r="Y22" s="61">
        <f>M12*'Key Business Variables'!$C$6*'Key Business Variables'!$C$15*'Key Business Variables'!$C$21/12</f>
        <v>0</v>
      </c>
      <c r="Z22" s="61">
        <f>N12*'Key Business Variables'!$C$6*'Key Business Variables'!$C$15*'Key Business Variables'!$C$21/12</f>
        <v>0</v>
      </c>
      <c r="AA22" s="61">
        <f>O12*'Key Business Variables'!$C$6*'Key Business Variables'!$C$15*'Key Business Variables'!$C$21/12</f>
        <v>0</v>
      </c>
      <c r="AB22" s="61">
        <f>P12*'Key Business Variables'!$C$6*'Key Business Variables'!$C$15*'Key Business Variables'!$C$21/12</f>
        <v>0</v>
      </c>
      <c r="AC22" s="61">
        <f>Q12*'Key Business Variables'!$C$6*'Key Business Variables'!$C$15*'Key Business Variables'!$C$21/12</f>
        <v>0</v>
      </c>
      <c r="AD22" s="61">
        <f>R12*'Key Business Variables'!$C$6*'Key Business Variables'!$C$15*'Key Business Variables'!$C$21/12</f>
        <v>0</v>
      </c>
      <c r="AE22" s="61">
        <f>S12*'Key Business Variables'!$C$6*'Key Business Variables'!$C$15*'Key Business Variables'!$C$21/12</f>
        <v>0</v>
      </c>
      <c r="AF22" s="61">
        <f>T12*'Key Business Variables'!$C$6*'Key Business Variables'!$C$15*'Key Business Variables'!$C$21/12</f>
        <v>0</v>
      </c>
      <c r="AG22" s="61">
        <f>U12*'Key Business Variables'!$C$6*'Key Business Variables'!$C$15*'Key Business Variables'!$C$21/12</f>
        <v>0</v>
      </c>
      <c r="AH22" s="61">
        <f>V12*'Key Business Variables'!$C$6*'Key Business Variables'!$C$15*'Key Business Variables'!$C$21/12</f>
        <v>0</v>
      </c>
      <c r="AI22" s="61">
        <f>W12*'Key Business Variables'!$C$6*'Key Business Variables'!$C$15*'Key Business Variables'!$C$21/12</f>
        <v>0</v>
      </c>
      <c r="AJ22" s="61">
        <f>X12*'Key Business Variables'!$C$6*'Key Business Variables'!$C$15*'Key Business Variables'!$C$21/12</f>
        <v>0</v>
      </c>
      <c r="AK22" s="61">
        <f>Y12*'Key Business Variables'!$C$6*'Key Business Variables'!$C$15*'Key Business Variables'!$C$21/12</f>
        <v>0</v>
      </c>
      <c r="AL22" s="61">
        <f>Z12*'Key Business Variables'!$C$6*'Key Business Variables'!$C$15*'Key Business Variables'!$C$21/12</f>
        <v>0</v>
      </c>
      <c r="AM22" s="61">
        <f>AA12*'Key Business Variables'!$C$6*'Key Business Variables'!$C$15*'Key Business Variables'!$C$21/12</f>
        <v>0</v>
      </c>
      <c r="AN22" s="61">
        <f>AB12*'Key Business Variables'!$C$6*'Key Business Variables'!$C$15*'Key Business Variables'!$C$21/12</f>
        <v>0</v>
      </c>
      <c r="AO22" s="61">
        <f>AC12*'Key Business Variables'!$C$6*'Key Business Variables'!$C$15*'Key Business Variables'!$C$21/12</f>
        <v>0</v>
      </c>
      <c r="AP22" s="61">
        <f>AD12*'Key Business Variables'!$C$6*'Key Business Variables'!$C$15*'Key Business Variables'!$C$21/12</f>
        <v>0</v>
      </c>
      <c r="AQ22" s="61">
        <f>AE12*'Key Business Variables'!$C$6*'Key Business Variables'!$C$15*'Key Business Variables'!$C$21/12</f>
        <v>0</v>
      </c>
      <c r="AR22" s="61">
        <f>AF12*'Key Business Variables'!$C$6*'Key Business Variables'!$C$15*'Key Business Variables'!$C$21/12</f>
        <v>0</v>
      </c>
      <c r="AS22" s="61">
        <f>AG12*'Key Business Variables'!$C$6*'Key Business Variables'!$C$15*'Key Business Variables'!$C$21/12</f>
        <v>0</v>
      </c>
      <c r="AT22" s="61">
        <f>AH12*'Key Business Variables'!$C$6*'Key Business Variables'!$C$15*'Key Business Variables'!$C$21/12</f>
        <v>0</v>
      </c>
      <c r="AU22" s="61">
        <f>AI12*'Key Business Variables'!$C$6*'Key Business Variables'!$C$15*'Key Business Variables'!$C$21/12</f>
        <v>0</v>
      </c>
      <c r="AV22" s="61">
        <f>AJ12*'Key Business Variables'!$C$6*'Key Business Variables'!$C$15*'Key Business Variables'!$C$21/12</f>
        <v>0</v>
      </c>
      <c r="AW22" s="61">
        <f>AK12*'Key Business Variables'!$C$6*'Key Business Variables'!$C$15*'Key Business Variables'!$C$21/12</f>
        <v>0</v>
      </c>
      <c r="AX22" s="61">
        <f>AL12*'Key Business Variables'!$C$6*'Key Business Variables'!$C$15*'Key Business Variables'!$C$21/12</f>
        <v>0</v>
      </c>
    </row>
    <row r="23" spans="1:50" hidden="1" x14ac:dyDescent="0.25">
      <c r="A23" s="11"/>
      <c r="B23" s="11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</row>
    <row r="24" spans="1:50" hidden="1" x14ac:dyDescent="0.25">
      <c r="A24" s="11" t="s">
        <v>52</v>
      </c>
      <c r="B24" s="11"/>
      <c r="C24" s="61">
        <f>C10*'Key Business Variables'!$F$14</f>
        <v>0</v>
      </c>
      <c r="D24" s="61">
        <f>D10*'Key Business Variables'!$F$14</f>
        <v>0</v>
      </c>
      <c r="E24" s="61">
        <f>E10*'Key Business Variables'!$F$14</f>
        <v>0</v>
      </c>
      <c r="F24" s="61">
        <f>F10*'Key Business Variables'!$F$14</f>
        <v>0</v>
      </c>
      <c r="G24" s="61">
        <f>G10*'Key Business Variables'!$F$14</f>
        <v>0</v>
      </c>
      <c r="H24" s="61">
        <f>H10*'Key Business Variables'!$F$14</f>
        <v>0</v>
      </c>
      <c r="I24" s="61">
        <f>I10*'Key Business Variables'!$F$14</f>
        <v>0</v>
      </c>
      <c r="J24" s="61">
        <f>J10*'Key Business Variables'!$F$14</f>
        <v>0</v>
      </c>
      <c r="K24" s="61">
        <f>K10*'Key Business Variables'!$F$14</f>
        <v>0</v>
      </c>
      <c r="L24" s="61">
        <f>L10*'Key Business Variables'!$F$14</f>
        <v>0</v>
      </c>
      <c r="M24" s="61">
        <f>M10*'Key Business Variables'!$F$14</f>
        <v>0</v>
      </c>
      <c r="N24" s="61">
        <f>N10*'Key Business Variables'!$F$14</f>
        <v>0</v>
      </c>
      <c r="O24" s="61">
        <f>O10*'Key Business Variables'!$F$14</f>
        <v>0</v>
      </c>
      <c r="P24" s="61">
        <f>P10*'Key Business Variables'!$F$14</f>
        <v>0</v>
      </c>
      <c r="Q24" s="61">
        <f>Q10*'Key Business Variables'!$F$14</f>
        <v>0</v>
      </c>
      <c r="R24" s="61">
        <f>R10*'Key Business Variables'!$F$14</f>
        <v>0</v>
      </c>
      <c r="S24" s="61">
        <f>S10*'Key Business Variables'!$F$14</f>
        <v>0</v>
      </c>
      <c r="T24" s="61">
        <f>T10*'Key Business Variables'!$F$14</f>
        <v>0</v>
      </c>
      <c r="U24" s="61">
        <f>U10*'Key Business Variables'!$F$14</f>
        <v>0</v>
      </c>
      <c r="V24" s="61">
        <f>V10*'Key Business Variables'!$F$14</f>
        <v>0</v>
      </c>
      <c r="W24" s="61">
        <f>W10*'Key Business Variables'!$F$14</f>
        <v>0</v>
      </c>
      <c r="X24" s="61">
        <f>X10*'Key Business Variables'!$F$14</f>
        <v>0</v>
      </c>
      <c r="Y24" s="61">
        <f>Y10*'Key Business Variables'!$F$14</f>
        <v>0</v>
      </c>
      <c r="Z24" s="61">
        <f>Z10*'Key Business Variables'!$F$14</f>
        <v>0</v>
      </c>
      <c r="AA24" s="61">
        <f>AA10*'Key Business Variables'!$F$14</f>
        <v>0</v>
      </c>
      <c r="AB24" s="61">
        <f>AB10*'Key Business Variables'!$F$14</f>
        <v>0</v>
      </c>
      <c r="AC24" s="61">
        <f>AC10*'Key Business Variables'!$F$14</f>
        <v>0</v>
      </c>
      <c r="AD24" s="61">
        <f>AD10*'Key Business Variables'!$F$14</f>
        <v>0</v>
      </c>
      <c r="AE24" s="61">
        <f>AE10*'Key Business Variables'!$F$14</f>
        <v>0</v>
      </c>
      <c r="AF24" s="61">
        <f>AF10*'Key Business Variables'!$F$14</f>
        <v>0</v>
      </c>
      <c r="AG24" s="61">
        <f>AG10*'Key Business Variables'!$F$14</f>
        <v>0</v>
      </c>
      <c r="AH24" s="61">
        <f>AH10*'Key Business Variables'!$F$14</f>
        <v>0</v>
      </c>
      <c r="AI24" s="61">
        <f>AI10*'Key Business Variables'!$F$14</f>
        <v>0</v>
      </c>
      <c r="AJ24" s="61">
        <f>AJ10*'Key Business Variables'!$F$14</f>
        <v>0</v>
      </c>
      <c r="AK24" s="61">
        <f>AK10*'Key Business Variables'!$F$14</f>
        <v>0</v>
      </c>
      <c r="AL24" s="61">
        <f>AL10*'Key Business Variables'!$F$14</f>
        <v>0</v>
      </c>
      <c r="AM24" s="61">
        <f>AM10*'Key Business Variables'!$F$14</f>
        <v>0</v>
      </c>
      <c r="AN24" s="61">
        <f>AN10*'Key Business Variables'!$F$14</f>
        <v>0</v>
      </c>
      <c r="AO24" s="61">
        <f>AO10*'Key Business Variables'!$F$14</f>
        <v>0</v>
      </c>
      <c r="AP24" s="61">
        <f>AP10*'Key Business Variables'!$F$14</f>
        <v>0</v>
      </c>
      <c r="AQ24" s="61">
        <f>AQ10*'Key Business Variables'!$F$14</f>
        <v>0</v>
      </c>
      <c r="AR24" s="61">
        <f>AR10*'Key Business Variables'!$F$14</f>
        <v>0</v>
      </c>
      <c r="AS24" s="61">
        <f>AS10*'Key Business Variables'!$F$14</f>
        <v>0</v>
      </c>
      <c r="AT24" s="61">
        <f>AT10*'Key Business Variables'!$F$14</f>
        <v>0</v>
      </c>
      <c r="AU24" s="61">
        <f>AU10*'Key Business Variables'!$F$14</f>
        <v>0</v>
      </c>
      <c r="AV24" s="61">
        <f>AV10*'Key Business Variables'!$F$14</f>
        <v>0</v>
      </c>
      <c r="AW24" s="61">
        <f>AW10*'Key Business Variables'!$F$14</f>
        <v>0</v>
      </c>
      <c r="AX24" s="61">
        <f>AX10*'Key Business Variables'!$F$14</f>
        <v>0</v>
      </c>
    </row>
    <row r="25" spans="1:50" hidden="1" x14ac:dyDescent="0.25">
      <c r="A25" s="11" t="s">
        <v>53</v>
      </c>
      <c r="B25" s="11"/>
      <c r="C25" s="61">
        <f>C5*'Key Business Variables'!$F$12</f>
        <v>0</v>
      </c>
      <c r="D25" s="61">
        <f>D5*'Key Business Variables'!$F$12</f>
        <v>0</v>
      </c>
      <c r="E25" s="61">
        <f>E5*'Key Business Variables'!$F$12</f>
        <v>0</v>
      </c>
      <c r="F25" s="61">
        <f>F5*'Key Business Variables'!$F$12</f>
        <v>0</v>
      </c>
      <c r="G25" s="61">
        <f>G5*'Key Business Variables'!$F$12</f>
        <v>0</v>
      </c>
      <c r="H25" s="61">
        <f>H5*'Key Business Variables'!$F$12</f>
        <v>0</v>
      </c>
      <c r="I25" s="61">
        <f>I5*'Key Business Variables'!$F$12</f>
        <v>0</v>
      </c>
      <c r="J25" s="61">
        <f>J5*'Key Business Variables'!$F$12</f>
        <v>0</v>
      </c>
      <c r="K25" s="61">
        <f>K5*'Key Business Variables'!$F$12</f>
        <v>0</v>
      </c>
      <c r="L25" s="61">
        <f>L5*'Key Business Variables'!$F$12</f>
        <v>0</v>
      </c>
      <c r="M25" s="61">
        <f>M5*'Key Business Variables'!$F$12</f>
        <v>0</v>
      </c>
      <c r="N25" s="61">
        <f>N5*'Key Business Variables'!$F$12</f>
        <v>0</v>
      </c>
      <c r="O25" s="61">
        <f>(O5*'Key Business Variables'!$F$12)+(C8*'Key Business Variables'!$F$13/12)</f>
        <v>0</v>
      </c>
      <c r="P25" s="61">
        <f>(P5*'Key Business Variables'!$F$12)+(D8*'Key Business Variables'!$F$13/12)</f>
        <v>0</v>
      </c>
      <c r="Q25" s="61">
        <f>(Q5*'Key Business Variables'!$F$12)+(E8*'Key Business Variables'!$F$13/12)</f>
        <v>0</v>
      </c>
      <c r="R25" s="61">
        <f>(R5*'Key Business Variables'!$F$12)+(F8*'Key Business Variables'!$F$13/12)</f>
        <v>0</v>
      </c>
      <c r="S25" s="61">
        <f>(S5*'Key Business Variables'!$F$12)+(G8*'Key Business Variables'!$F$13/12)</f>
        <v>0</v>
      </c>
      <c r="T25" s="61">
        <f>(T5*'Key Business Variables'!$F$12)+(H8*'Key Business Variables'!$F$13/12)</f>
        <v>0</v>
      </c>
      <c r="U25" s="61">
        <f>(U5*'Key Business Variables'!$F$12)+(I8*'Key Business Variables'!$F$13/12)</f>
        <v>0</v>
      </c>
      <c r="V25" s="61">
        <f>(V5*'Key Business Variables'!$F$12)+(J8*'Key Business Variables'!$F$13/12)</f>
        <v>0</v>
      </c>
      <c r="W25" s="61">
        <f>(W5*'Key Business Variables'!$F$12)+(K8*'Key Business Variables'!$F$13/12)</f>
        <v>0</v>
      </c>
      <c r="X25" s="61">
        <f>(X5*'Key Business Variables'!$F$12)+(L8*'Key Business Variables'!$F$13/12)</f>
        <v>0</v>
      </c>
      <c r="Y25" s="61">
        <f>(Y5*'Key Business Variables'!$F$12)+(M8*'Key Business Variables'!$F$13/12)</f>
        <v>0</v>
      </c>
      <c r="Z25" s="61">
        <f>(Z5*'Key Business Variables'!$F$12)+(N8*'Key Business Variables'!$F$13/12)</f>
        <v>0</v>
      </c>
      <c r="AA25" s="61">
        <f>(AA5*'Key Business Variables'!$F$12)+(O8*'Key Business Variables'!$F$13/12)</f>
        <v>0</v>
      </c>
      <c r="AB25" s="61">
        <f>(AB5*'Key Business Variables'!$F$12)+(P8*'Key Business Variables'!$F$13/12)</f>
        <v>0</v>
      </c>
      <c r="AC25" s="61">
        <f>(AC5*'Key Business Variables'!$F$12)+(Q8*'Key Business Variables'!$F$13/12)</f>
        <v>0</v>
      </c>
      <c r="AD25" s="61">
        <f>(AD5*'Key Business Variables'!$F$12)+(R8*'Key Business Variables'!$F$13/12)</f>
        <v>0</v>
      </c>
      <c r="AE25" s="61">
        <f>(AE5*'Key Business Variables'!$F$12)+(S8*'Key Business Variables'!$F$13/12)</f>
        <v>0</v>
      </c>
      <c r="AF25" s="61">
        <f>(AF5*'Key Business Variables'!$F$12)+(T8*'Key Business Variables'!$F$13/12)</f>
        <v>0</v>
      </c>
      <c r="AG25" s="61">
        <f>(AG5*'Key Business Variables'!$F$12)+(U8*'Key Business Variables'!$F$13/12)</f>
        <v>0</v>
      </c>
      <c r="AH25" s="61">
        <f>(AH5*'Key Business Variables'!$F$12)+(V8*'Key Business Variables'!$F$13/12)</f>
        <v>0</v>
      </c>
      <c r="AI25" s="61">
        <f>(AI5*'Key Business Variables'!$F$12)+(W8*'Key Business Variables'!$F$13/12)</f>
        <v>0</v>
      </c>
      <c r="AJ25" s="61">
        <f>(AJ5*'Key Business Variables'!$F$12)+(X8*'Key Business Variables'!$F$13/12)</f>
        <v>0</v>
      </c>
      <c r="AK25" s="61">
        <f>(AK5*'Key Business Variables'!$F$12)+(Y8*'Key Business Variables'!$F$13/12)</f>
        <v>0</v>
      </c>
      <c r="AL25" s="61">
        <f>(AL5*'Key Business Variables'!$F$12)+(Z8*'Key Business Variables'!$F$13/12)</f>
        <v>0</v>
      </c>
      <c r="AM25" s="61">
        <f>(AM5*'Key Business Variables'!$F$12)+(AA8*'Key Business Variables'!$F$13/12)</f>
        <v>0</v>
      </c>
      <c r="AN25" s="61">
        <f>(AN5*'Key Business Variables'!$F$12)+(AB8*'Key Business Variables'!$F$13/12)</f>
        <v>0</v>
      </c>
      <c r="AO25" s="61">
        <f>(AO5*'Key Business Variables'!$F$12)+(AC8*'Key Business Variables'!$F$13/12)</f>
        <v>0</v>
      </c>
      <c r="AP25" s="61">
        <f>(AP5*'Key Business Variables'!$F$12)+(AD8*'Key Business Variables'!$F$13/12)</f>
        <v>0</v>
      </c>
      <c r="AQ25" s="61">
        <f>(AQ5*'Key Business Variables'!$F$12)+(AE8*'Key Business Variables'!$F$13/12)</f>
        <v>0</v>
      </c>
      <c r="AR25" s="61">
        <f>(AR5*'Key Business Variables'!$F$12)+(AF8*'Key Business Variables'!$F$13/12)</f>
        <v>0</v>
      </c>
      <c r="AS25" s="61">
        <f>(AS5*'Key Business Variables'!$F$12)+(AG8*'Key Business Variables'!$F$13/12)</f>
        <v>0</v>
      </c>
      <c r="AT25" s="61">
        <f>(AT5*'Key Business Variables'!$F$12)+(AH8*'Key Business Variables'!$F$13/12)</f>
        <v>0</v>
      </c>
      <c r="AU25" s="61">
        <f>(AU5*'Key Business Variables'!$F$12)+(AI8*'Key Business Variables'!$F$13/12)</f>
        <v>0</v>
      </c>
      <c r="AV25" s="61">
        <f>(AV5*'Key Business Variables'!$F$12)+(AJ8*'Key Business Variables'!$F$13/12)</f>
        <v>0</v>
      </c>
      <c r="AW25" s="61">
        <f>(AW5*'Key Business Variables'!$F$12)+(AK8*'Key Business Variables'!$F$13/12)</f>
        <v>0</v>
      </c>
      <c r="AX25" s="61">
        <f>(AX5*'Key Business Variables'!$F$12)+(AL8*'Key Business Variables'!$F$13/12)</f>
        <v>0</v>
      </c>
    </row>
    <row r="26" spans="1:50" s="33" customFormat="1" hidden="1" x14ac:dyDescent="0.25">
      <c r="A26" s="11" t="s">
        <v>54</v>
      </c>
      <c r="B26" s="11"/>
      <c r="C26" s="61">
        <f>C13*'Key Business Variables'!$F$15*'Key Business Variables'!$C$6</f>
        <v>0</v>
      </c>
      <c r="D26" s="61">
        <f>D13*'Key Business Variables'!$F$15*'Key Business Variables'!$C$6</f>
        <v>0</v>
      </c>
      <c r="E26" s="61">
        <f>E13*'Key Business Variables'!$F$15*'Key Business Variables'!$C$6</f>
        <v>0</v>
      </c>
      <c r="F26" s="61">
        <f>F13*'Key Business Variables'!$F$15*'Key Business Variables'!$C$6</f>
        <v>0</v>
      </c>
      <c r="G26" s="61">
        <f>G13*'Key Business Variables'!$F$15*'Key Business Variables'!$C$6</f>
        <v>0</v>
      </c>
      <c r="H26" s="61">
        <f>H13*'Key Business Variables'!$F$15*'Key Business Variables'!$C$6</f>
        <v>0</v>
      </c>
      <c r="I26" s="61">
        <f>I13*'Key Business Variables'!$F$15*'Key Business Variables'!$C$6</f>
        <v>0</v>
      </c>
      <c r="J26" s="61">
        <f>J13*'Key Business Variables'!$F$15*'Key Business Variables'!$C$6</f>
        <v>0</v>
      </c>
      <c r="K26" s="61">
        <f>K13*'Key Business Variables'!$F$15*'Key Business Variables'!$C$6</f>
        <v>0</v>
      </c>
      <c r="L26" s="61">
        <f>L13*'Key Business Variables'!$F$15*'Key Business Variables'!$C$6</f>
        <v>0</v>
      </c>
      <c r="M26" s="61">
        <f>M13*'Key Business Variables'!$F$15*'Key Business Variables'!$C$6</f>
        <v>0</v>
      </c>
      <c r="N26" s="61">
        <f>N13*'Key Business Variables'!$F$15*'Key Business Variables'!$C$6</f>
        <v>0</v>
      </c>
      <c r="O26" s="61">
        <f>O13*'Key Business Variables'!$F$15*'Key Business Variables'!$C$6</f>
        <v>0</v>
      </c>
      <c r="P26" s="61">
        <f>P13*'Key Business Variables'!$F$15*'Key Business Variables'!$C$6</f>
        <v>0</v>
      </c>
      <c r="Q26" s="61">
        <f>Q13*'Key Business Variables'!$F$15*'Key Business Variables'!$C$6</f>
        <v>0</v>
      </c>
      <c r="R26" s="61">
        <f>R13*'Key Business Variables'!$F$15*'Key Business Variables'!$C$6</f>
        <v>0</v>
      </c>
      <c r="S26" s="61">
        <f>S13*'Key Business Variables'!$F$15*'Key Business Variables'!$C$6</f>
        <v>0</v>
      </c>
      <c r="T26" s="61">
        <f>T13*'Key Business Variables'!$F$15*'Key Business Variables'!$C$6</f>
        <v>0</v>
      </c>
      <c r="U26" s="61">
        <f>U13*'Key Business Variables'!$F$15*'Key Business Variables'!$C$6</f>
        <v>0</v>
      </c>
      <c r="V26" s="61">
        <f>V13*'Key Business Variables'!$F$15*'Key Business Variables'!$C$6</f>
        <v>0</v>
      </c>
      <c r="W26" s="61">
        <f>W13*'Key Business Variables'!$F$15*'Key Business Variables'!$C$6</f>
        <v>0</v>
      </c>
      <c r="X26" s="61">
        <f>X13*'Key Business Variables'!$F$15*'Key Business Variables'!$C$6</f>
        <v>0</v>
      </c>
      <c r="Y26" s="61">
        <f>Y13*'Key Business Variables'!$F$15*'Key Business Variables'!$C$6</f>
        <v>0</v>
      </c>
      <c r="Z26" s="61">
        <f>Z13*'Key Business Variables'!$F$15*'Key Business Variables'!$C$6</f>
        <v>0</v>
      </c>
      <c r="AA26" s="61">
        <f>AA13*'Key Business Variables'!$F$15*'Key Business Variables'!$C$6</f>
        <v>0</v>
      </c>
      <c r="AB26" s="61">
        <f>AB13*'Key Business Variables'!$F$15*'Key Business Variables'!$C$6</f>
        <v>0</v>
      </c>
      <c r="AC26" s="61">
        <f>AC13*'Key Business Variables'!$F$15*'Key Business Variables'!$C$6</f>
        <v>0</v>
      </c>
      <c r="AD26" s="61">
        <f>AD13*'Key Business Variables'!$F$15*'Key Business Variables'!$C$6</f>
        <v>0</v>
      </c>
      <c r="AE26" s="61">
        <f>AE13*'Key Business Variables'!$F$15*'Key Business Variables'!$C$6</f>
        <v>0</v>
      </c>
      <c r="AF26" s="61">
        <f>AF13*'Key Business Variables'!$F$15*'Key Business Variables'!$C$6</f>
        <v>0</v>
      </c>
      <c r="AG26" s="61">
        <f>AG13*'Key Business Variables'!$F$15*'Key Business Variables'!$C$6</f>
        <v>0</v>
      </c>
      <c r="AH26" s="61">
        <f>AH13*'Key Business Variables'!$F$15*'Key Business Variables'!$C$6</f>
        <v>0</v>
      </c>
      <c r="AI26" s="61">
        <f>AI13*'Key Business Variables'!$F$15*'Key Business Variables'!$C$6</f>
        <v>0</v>
      </c>
      <c r="AJ26" s="61">
        <f>AJ13*'Key Business Variables'!$F$15*'Key Business Variables'!$C$6</f>
        <v>0</v>
      </c>
      <c r="AK26" s="61">
        <f>AK13*'Key Business Variables'!$F$15*'Key Business Variables'!$C$6</f>
        <v>0</v>
      </c>
      <c r="AL26" s="61">
        <f>AL13*'Key Business Variables'!$F$15*'Key Business Variables'!$C$6</f>
        <v>0</v>
      </c>
      <c r="AM26" s="61">
        <f>AM13*'Key Business Variables'!$F$15*'Key Business Variables'!$C$6</f>
        <v>0</v>
      </c>
      <c r="AN26" s="61">
        <f>AN13*'Key Business Variables'!$F$15*'Key Business Variables'!$C$6</f>
        <v>0</v>
      </c>
      <c r="AO26" s="61">
        <f>AO13*'Key Business Variables'!$F$15*'Key Business Variables'!$C$6</f>
        <v>0</v>
      </c>
      <c r="AP26" s="61">
        <f>AP13*'Key Business Variables'!$F$15*'Key Business Variables'!$C$6</f>
        <v>0</v>
      </c>
      <c r="AQ26" s="61">
        <f>AQ13*'Key Business Variables'!$F$15*'Key Business Variables'!$C$6</f>
        <v>0</v>
      </c>
      <c r="AR26" s="61">
        <f>AR13*'Key Business Variables'!$F$15*'Key Business Variables'!$C$6</f>
        <v>0</v>
      </c>
      <c r="AS26" s="61">
        <f>AS13*'Key Business Variables'!$F$15*'Key Business Variables'!$C$6</f>
        <v>0</v>
      </c>
      <c r="AT26" s="61">
        <f>AT13*'Key Business Variables'!$F$15*'Key Business Variables'!$C$6</f>
        <v>0</v>
      </c>
      <c r="AU26" s="61">
        <f>AU13*'Key Business Variables'!$F$15*'Key Business Variables'!$C$6</f>
        <v>0</v>
      </c>
      <c r="AV26" s="61">
        <f>AV13*'Key Business Variables'!$F$15*'Key Business Variables'!$C$6</f>
        <v>0</v>
      </c>
      <c r="AW26" s="61">
        <f>AW13*'Key Business Variables'!$F$15*'Key Business Variables'!$C$6</f>
        <v>0</v>
      </c>
      <c r="AX26" s="61">
        <f>AX13*'Key Business Variables'!$F$15*'Key Business Variables'!$C$6</f>
        <v>0</v>
      </c>
    </row>
    <row r="27" spans="1:50" hidden="1" x14ac:dyDescent="0.25">
      <c r="A27" s="11"/>
      <c r="B27" s="1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</row>
    <row r="28" spans="1:50" hidden="1" x14ac:dyDescent="0.25">
      <c r="A28" s="11" t="s">
        <v>56</v>
      </c>
      <c r="B28" s="11"/>
      <c r="C28" s="61">
        <f>(C18*(1-'Key Business Variables'!$C$20))</f>
        <v>75000</v>
      </c>
      <c r="D28" s="61">
        <f>(D18*(1-'Key Business Variables'!$C$20))</f>
        <v>75000</v>
      </c>
      <c r="E28" s="61">
        <f>(E18*(1-'Key Business Variables'!$C$20))</f>
        <v>75000</v>
      </c>
      <c r="F28" s="61">
        <f>(F18*(1-'Key Business Variables'!$C$20))</f>
        <v>75000</v>
      </c>
      <c r="G28" s="61">
        <f>(G18*(1-'Key Business Variables'!$C$20))</f>
        <v>75000</v>
      </c>
      <c r="H28" s="61">
        <f>(H18*(1-'Key Business Variables'!$C$20))</f>
        <v>75000</v>
      </c>
      <c r="I28" s="61">
        <f>(I18*(1-'Key Business Variables'!$C$20))</f>
        <v>75000</v>
      </c>
      <c r="J28" s="61">
        <f>(J18*(1-'Key Business Variables'!$C$20))</f>
        <v>75000</v>
      </c>
      <c r="K28" s="61">
        <f>(K18*(1-'Key Business Variables'!$C$20))</f>
        <v>75000</v>
      </c>
      <c r="L28" s="61">
        <f>(L18*(1-'Key Business Variables'!$C$20))</f>
        <v>75000</v>
      </c>
      <c r="M28" s="61">
        <f>(M18*(1-'Key Business Variables'!$C$20))</f>
        <v>75000</v>
      </c>
      <c r="N28" s="61">
        <f>(N18*(1-'Key Business Variables'!$C$20))</f>
        <v>75000</v>
      </c>
      <c r="O28" s="61">
        <f>(O18*(1-'Key Business Variables'!$C$20))</f>
        <v>75000</v>
      </c>
      <c r="P28" s="61">
        <f>(P18*(1-'Key Business Variables'!$C$20))</f>
        <v>75000</v>
      </c>
      <c r="Q28" s="61">
        <f>(Q18*(1-'Key Business Variables'!$C$20))</f>
        <v>75000</v>
      </c>
      <c r="R28" s="61">
        <f>(R18*(1-'Key Business Variables'!$C$20))</f>
        <v>75000</v>
      </c>
      <c r="S28" s="61">
        <f>(S18*(1-'Key Business Variables'!$C$20))</f>
        <v>75000</v>
      </c>
      <c r="T28" s="61">
        <f>(T18*(1-'Key Business Variables'!$C$20))</f>
        <v>75000</v>
      </c>
      <c r="U28" s="61">
        <f>(U18*(1-'Key Business Variables'!$C$20))</f>
        <v>75000</v>
      </c>
      <c r="V28" s="61">
        <f>(V18*(1-'Key Business Variables'!$C$20))</f>
        <v>75000</v>
      </c>
      <c r="W28" s="61">
        <f>(W18*(1-'Key Business Variables'!$C$20))</f>
        <v>75000</v>
      </c>
      <c r="X28" s="61">
        <f>(X18*(1-'Key Business Variables'!$C$20))</f>
        <v>75000</v>
      </c>
      <c r="Y28" s="61">
        <f>(Y18*(1-'Key Business Variables'!$C$20))</f>
        <v>75000</v>
      </c>
      <c r="Z28" s="61">
        <f>(Z18*(1-'Key Business Variables'!$C$20))</f>
        <v>75000</v>
      </c>
      <c r="AA28" s="61">
        <f>(AA18*(1-'Key Business Variables'!$C$20))</f>
        <v>75000</v>
      </c>
      <c r="AB28" s="61">
        <f>(AB18*(1-'Key Business Variables'!$C$20))</f>
        <v>75000</v>
      </c>
      <c r="AC28" s="61">
        <f>(AC18*(1-'Key Business Variables'!$C$20))</f>
        <v>75000</v>
      </c>
      <c r="AD28" s="61">
        <f>(AD18*(1-'Key Business Variables'!$C$20))</f>
        <v>75000</v>
      </c>
      <c r="AE28" s="61">
        <f>(AE18*(1-'Key Business Variables'!$C$20))</f>
        <v>75000</v>
      </c>
      <c r="AF28" s="61">
        <f>(AF18*(1-'Key Business Variables'!$C$20))</f>
        <v>75000</v>
      </c>
      <c r="AG28" s="61">
        <f>(AG18*(1-'Key Business Variables'!$C$20))</f>
        <v>75000</v>
      </c>
      <c r="AH28" s="61">
        <f>(AH18*(1-'Key Business Variables'!$C$20))</f>
        <v>75000</v>
      </c>
      <c r="AI28" s="61">
        <f>(AI18*(1-'Key Business Variables'!$C$20))</f>
        <v>75000</v>
      </c>
      <c r="AJ28" s="61">
        <f>(AJ18*(1-'Key Business Variables'!$C$20))</f>
        <v>75000</v>
      </c>
      <c r="AK28" s="61">
        <f>(AK18*(1-'Key Business Variables'!$C$20))</f>
        <v>75000</v>
      </c>
      <c r="AL28" s="61">
        <f>(AL18*(1-'Key Business Variables'!$C$20))</f>
        <v>75000</v>
      </c>
      <c r="AM28" s="61">
        <f>(AM18*(1-'Key Business Variables'!$C$20))</f>
        <v>75000</v>
      </c>
      <c r="AN28" s="61">
        <f>(AN18*(1-'Key Business Variables'!$C$20))</f>
        <v>75000</v>
      </c>
      <c r="AO28" s="61">
        <f>(AO18*(1-'Key Business Variables'!$C$20))</f>
        <v>75000</v>
      </c>
      <c r="AP28" s="61">
        <f>(AP18*(1-'Key Business Variables'!$C$20))</f>
        <v>75000</v>
      </c>
      <c r="AQ28" s="61">
        <f>(AQ18*(1-'Key Business Variables'!$C$20))</f>
        <v>75000</v>
      </c>
      <c r="AR28" s="61">
        <f>(AR18*(1-'Key Business Variables'!$C$20))</f>
        <v>75000</v>
      </c>
      <c r="AS28" s="61">
        <f>(AS18*(1-'Key Business Variables'!$C$20))</f>
        <v>75000</v>
      </c>
      <c r="AT28" s="61">
        <f>(AT18*(1-'Key Business Variables'!$C$20))</f>
        <v>75000</v>
      </c>
      <c r="AU28" s="61">
        <f>(AU18*(1-'Key Business Variables'!$C$20))</f>
        <v>75000</v>
      </c>
      <c r="AV28" s="61">
        <f>(AV18*(1-'Key Business Variables'!$C$20))</f>
        <v>75000</v>
      </c>
      <c r="AW28" s="61">
        <f>(AW18*(1-'Key Business Variables'!$C$20))</f>
        <v>75000</v>
      </c>
      <c r="AX28" s="61">
        <f>(AX18*(1-'Key Business Variables'!$C$20))</f>
        <v>75000</v>
      </c>
    </row>
    <row r="29" spans="1:50" hidden="1" x14ac:dyDescent="0.25">
      <c r="A29" s="11" t="s">
        <v>116</v>
      </c>
      <c r="B29" s="11"/>
      <c r="C29" s="61">
        <f>C19*(1-'Key Business Variables'!$C$21)</f>
        <v>0</v>
      </c>
      <c r="D29" s="61">
        <f>D19*(1-'Key Business Variables'!$C$21)</f>
        <v>0</v>
      </c>
      <c r="E29" s="61">
        <f>E19*(1-'Key Business Variables'!$C$21)</f>
        <v>0</v>
      </c>
      <c r="F29" s="61">
        <f>F19*(1-'Key Business Variables'!$C$21)</f>
        <v>0</v>
      </c>
      <c r="G29" s="61">
        <f>G19*(1-'Key Business Variables'!$C$21)</f>
        <v>0</v>
      </c>
      <c r="H29" s="61">
        <f>H19*(1-'Key Business Variables'!$C$21)</f>
        <v>0</v>
      </c>
      <c r="I29" s="61">
        <f>I19*(1-'Key Business Variables'!$C$21)</f>
        <v>0</v>
      </c>
      <c r="J29" s="61">
        <f>J19*(1-'Key Business Variables'!$C$21)</f>
        <v>0</v>
      </c>
      <c r="K29" s="61">
        <f>K19*(1-'Key Business Variables'!$C$21)</f>
        <v>0</v>
      </c>
      <c r="L29" s="61">
        <f>L19*(1-'Key Business Variables'!$C$21)</f>
        <v>0</v>
      </c>
      <c r="M29" s="61">
        <f>M19*(1-'Key Business Variables'!$C$21)</f>
        <v>0</v>
      </c>
      <c r="N29" s="61">
        <f>N19*(1-'Key Business Variables'!$C$21)</f>
        <v>0</v>
      </c>
      <c r="O29" s="61">
        <f>O19*(1-'Key Business Variables'!$C$21)</f>
        <v>1537.5000000000002</v>
      </c>
      <c r="P29" s="61">
        <f>P19*(1-'Key Business Variables'!$C$21)</f>
        <v>3075.0000000000005</v>
      </c>
      <c r="Q29" s="61">
        <f>Q19*(1-'Key Business Variables'!$C$21)</f>
        <v>4612.5</v>
      </c>
      <c r="R29" s="61">
        <f>R19*(1-'Key Business Variables'!$C$21)</f>
        <v>6150.0000000000009</v>
      </c>
      <c r="S29" s="61">
        <f>S19*(1-'Key Business Variables'!$C$21)</f>
        <v>7687.5000000000009</v>
      </c>
      <c r="T29" s="61">
        <f>T19*(1-'Key Business Variables'!$C$21)</f>
        <v>9225</v>
      </c>
      <c r="U29" s="61">
        <f>U19*(1-'Key Business Variables'!$C$21)</f>
        <v>10762.5</v>
      </c>
      <c r="V29" s="61">
        <f>V19*(1-'Key Business Variables'!$C$21)</f>
        <v>12300</v>
      </c>
      <c r="W29" s="61">
        <f>W19*(1-'Key Business Variables'!$C$21)</f>
        <v>13837.499999999998</v>
      </c>
      <c r="X29" s="61">
        <f>X19*(1-'Key Business Variables'!$C$21)</f>
        <v>15374.999999999998</v>
      </c>
      <c r="Y29" s="61">
        <f>Y19*(1-'Key Business Variables'!$C$21)</f>
        <v>16912.5</v>
      </c>
      <c r="Z29" s="61">
        <f>Z19*(1-'Key Business Variables'!$C$21)</f>
        <v>18450</v>
      </c>
      <c r="AA29" s="61">
        <f>AA19*(1-'Key Business Variables'!$C$21)</f>
        <v>19987.5</v>
      </c>
      <c r="AB29" s="61">
        <f>AB19*(1-'Key Business Variables'!$C$21)</f>
        <v>21525</v>
      </c>
      <c r="AC29" s="61">
        <f>AC19*(1-'Key Business Variables'!$C$21)</f>
        <v>23062.500000000004</v>
      </c>
      <c r="AD29" s="61">
        <f>AD19*(1-'Key Business Variables'!$C$21)</f>
        <v>24600.000000000004</v>
      </c>
      <c r="AE29" s="61">
        <f>AE19*(1-'Key Business Variables'!$C$21)</f>
        <v>26137.500000000004</v>
      </c>
      <c r="AF29" s="61">
        <f>AF19*(1-'Key Business Variables'!$C$21)</f>
        <v>27675.000000000007</v>
      </c>
      <c r="AG29" s="61">
        <f>AG19*(1-'Key Business Variables'!$C$21)</f>
        <v>29212.500000000007</v>
      </c>
      <c r="AH29" s="61">
        <f>AH19*(1-'Key Business Variables'!$C$21)</f>
        <v>30750.000000000007</v>
      </c>
      <c r="AI29" s="61">
        <f>AI19*(1-'Key Business Variables'!$C$21)</f>
        <v>32287.500000000007</v>
      </c>
      <c r="AJ29" s="61">
        <f>AJ19*(1-'Key Business Variables'!$C$21)</f>
        <v>33825.000000000007</v>
      </c>
      <c r="AK29" s="61">
        <f>AK19*(1-'Key Business Variables'!$C$21)</f>
        <v>35362.5</v>
      </c>
      <c r="AL29" s="61">
        <f>AL19*(1-'Key Business Variables'!$C$21)</f>
        <v>36900</v>
      </c>
      <c r="AM29" s="61">
        <f>AM19*(1-'Key Business Variables'!$C$21)</f>
        <v>38437.5</v>
      </c>
      <c r="AN29" s="61">
        <f>AN19*(1-'Key Business Variables'!$C$21)</f>
        <v>39975</v>
      </c>
      <c r="AO29" s="61">
        <f>AO19*(1-'Key Business Variables'!$C$21)</f>
        <v>41512.5</v>
      </c>
      <c r="AP29" s="61">
        <f>AP19*(1-'Key Business Variables'!$C$21)</f>
        <v>43050</v>
      </c>
      <c r="AQ29" s="61">
        <f>AQ19*(1-'Key Business Variables'!$C$21)</f>
        <v>44587.5</v>
      </c>
      <c r="AR29" s="61">
        <f>AR19*(1-'Key Business Variables'!$C$21)</f>
        <v>46124.999999999985</v>
      </c>
      <c r="AS29" s="61">
        <f>AS19*(1-'Key Business Variables'!$C$21)</f>
        <v>47662.499999999985</v>
      </c>
      <c r="AT29" s="61">
        <f>AT19*(1-'Key Business Variables'!$C$21)</f>
        <v>49199.999999999985</v>
      </c>
      <c r="AU29" s="61">
        <f>AU19*(1-'Key Business Variables'!$C$21)</f>
        <v>50737.499999999985</v>
      </c>
      <c r="AV29" s="61">
        <f>AV19*(1-'Key Business Variables'!$C$21)</f>
        <v>52274.999999999971</v>
      </c>
      <c r="AW29" s="61">
        <f>AW19*(1-'Key Business Variables'!$C$21)</f>
        <v>53812.499999999971</v>
      </c>
      <c r="AX29" s="61">
        <f>AX19*(1-'Key Business Variables'!$C$21)</f>
        <v>55349.999999999971</v>
      </c>
    </row>
    <row r="30" spans="1:50" hidden="1" x14ac:dyDescent="0.25">
      <c r="A30" s="11" t="s">
        <v>57</v>
      </c>
      <c r="B30" s="11"/>
      <c r="C30" s="61">
        <f>C20*(1-'Key Business Variables'!$C$19)</f>
        <v>206250.00000000003</v>
      </c>
      <c r="D30" s="61">
        <f>D20*(1-'Key Business Variables'!$C$19)</f>
        <v>206250.00000000003</v>
      </c>
      <c r="E30" s="61">
        <f>E20*(1-'Key Business Variables'!$C$19)</f>
        <v>206250.00000000003</v>
      </c>
      <c r="F30" s="61">
        <f>F20*(1-'Key Business Variables'!$C$19)</f>
        <v>206250.00000000003</v>
      </c>
      <c r="G30" s="61">
        <f>G20*(1-'Key Business Variables'!$C$19)</f>
        <v>206250.00000000003</v>
      </c>
      <c r="H30" s="61">
        <f>H20*(1-'Key Business Variables'!$C$19)</f>
        <v>206250.00000000003</v>
      </c>
      <c r="I30" s="61">
        <f>I20*(1-'Key Business Variables'!$C$19)</f>
        <v>206250.00000000003</v>
      </c>
      <c r="J30" s="61">
        <f>J20*(1-'Key Business Variables'!$C$19)</f>
        <v>206250.00000000003</v>
      </c>
      <c r="K30" s="61">
        <f>K20*(1-'Key Business Variables'!$C$19)</f>
        <v>206250.00000000003</v>
      </c>
      <c r="L30" s="61">
        <f>L20*(1-'Key Business Variables'!$C$19)</f>
        <v>206250.00000000003</v>
      </c>
      <c r="M30" s="61">
        <f>M20*(1-'Key Business Variables'!$C$19)</f>
        <v>206250.00000000003</v>
      </c>
      <c r="N30" s="61">
        <f>N20*(1-'Key Business Variables'!$C$19)</f>
        <v>206250.00000000003</v>
      </c>
      <c r="O30" s="61">
        <f>O20*(1-'Key Business Variables'!$C$19)</f>
        <v>207968.75000000003</v>
      </c>
      <c r="P30" s="61">
        <f>P20*(1-'Key Business Variables'!$C$19)</f>
        <v>209687.50000000003</v>
      </c>
      <c r="Q30" s="61">
        <f>Q20*(1-'Key Business Variables'!$C$19)</f>
        <v>211406.25000000003</v>
      </c>
      <c r="R30" s="61">
        <f>R20*(1-'Key Business Variables'!$C$19)</f>
        <v>213125.00000000003</v>
      </c>
      <c r="S30" s="61">
        <f>S20*(1-'Key Business Variables'!$C$19)</f>
        <v>214843.75000000003</v>
      </c>
      <c r="T30" s="61">
        <f>T20*(1-'Key Business Variables'!$C$19)</f>
        <v>216562.50000000003</v>
      </c>
      <c r="U30" s="61">
        <f>U20*(1-'Key Business Variables'!$C$19)</f>
        <v>218281.25000000003</v>
      </c>
      <c r="V30" s="61">
        <f>V20*(1-'Key Business Variables'!$C$19)</f>
        <v>220000.00000000003</v>
      </c>
      <c r="W30" s="61">
        <f>W20*(1-'Key Business Variables'!$C$19)</f>
        <v>221718.75000000003</v>
      </c>
      <c r="X30" s="61">
        <f>X20*(1-'Key Business Variables'!$C$19)</f>
        <v>223437.50000000003</v>
      </c>
      <c r="Y30" s="61">
        <f>Y20*(1-'Key Business Variables'!$C$19)</f>
        <v>225156.25000000003</v>
      </c>
      <c r="Z30" s="61">
        <f>Z20*(1-'Key Business Variables'!$C$19)</f>
        <v>226875.00000000003</v>
      </c>
      <c r="AA30" s="61">
        <f>AA20*(1-'Key Business Variables'!$C$19)</f>
        <v>228593.75000000003</v>
      </c>
      <c r="AB30" s="61">
        <f>AB20*(1-'Key Business Variables'!$C$19)</f>
        <v>230312.50000000003</v>
      </c>
      <c r="AC30" s="61">
        <f>AC20*(1-'Key Business Variables'!$C$19)</f>
        <v>232031.25000000003</v>
      </c>
      <c r="AD30" s="61">
        <f>AD20*(1-'Key Business Variables'!$C$19)</f>
        <v>233750.00000000003</v>
      </c>
      <c r="AE30" s="61">
        <f>AE20*(1-'Key Business Variables'!$C$19)</f>
        <v>235468.75000000003</v>
      </c>
      <c r="AF30" s="61">
        <f>AF20*(1-'Key Business Variables'!$C$19)</f>
        <v>237187.50000000003</v>
      </c>
      <c r="AG30" s="61">
        <f>AG20*(1-'Key Business Variables'!$C$19)</f>
        <v>238906.25000000003</v>
      </c>
      <c r="AH30" s="61">
        <f>AH20*(1-'Key Business Variables'!$C$19)</f>
        <v>240625.00000000003</v>
      </c>
      <c r="AI30" s="61">
        <f>AI20*(1-'Key Business Variables'!$C$19)</f>
        <v>242343.75000000003</v>
      </c>
      <c r="AJ30" s="61">
        <f>AJ20*(1-'Key Business Variables'!$C$19)</f>
        <v>244062.50000000003</v>
      </c>
      <c r="AK30" s="61">
        <f>AK20*(1-'Key Business Variables'!$C$19)</f>
        <v>245781.25000000003</v>
      </c>
      <c r="AL30" s="61">
        <f>AL20*(1-'Key Business Variables'!$C$19)</f>
        <v>247500.00000000003</v>
      </c>
      <c r="AM30" s="61">
        <f>AM20*(1-'Key Business Variables'!$C$19)</f>
        <v>249218.75000000003</v>
      </c>
      <c r="AN30" s="61">
        <f>AN20*(1-'Key Business Variables'!$C$19)</f>
        <v>250937.50000000003</v>
      </c>
      <c r="AO30" s="61">
        <f>AO20*(1-'Key Business Variables'!$C$19)</f>
        <v>252656.25000000003</v>
      </c>
      <c r="AP30" s="61">
        <f>AP20*(1-'Key Business Variables'!$C$19)</f>
        <v>254375.00000000003</v>
      </c>
      <c r="AQ30" s="61">
        <f>AQ20*(1-'Key Business Variables'!$C$19)</f>
        <v>256093.75000000003</v>
      </c>
      <c r="AR30" s="61">
        <f>AR20*(1-'Key Business Variables'!$C$19)</f>
        <v>257812.50000000003</v>
      </c>
      <c r="AS30" s="61">
        <f>AS20*(1-'Key Business Variables'!$C$19)</f>
        <v>259531.25</v>
      </c>
      <c r="AT30" s="61">
        <f>AT20*(1-'Key Business Variables'!$C$19)</f>
        <v>261250</v>
      </c>
      <c r="AU30" s="61">
        <f>AU20*(1-'Key Business Variables'!$C$19)</f>
        <v>262968.75</v>
      </c>
      <c r="AV30" s="61">
        <f>AV20*(1-'Key Business Variables'!$C$19)</f>
        <v>264687.5</v>
      </c>
      <c r="AW30" s="61">
        <f>AW20*(1-'Key Business Variables'!$C$19)</f>
        <v>266406.25</v>
      </c>
      <c r="AX30" s="61">
        <f>AX20*(1-'Key Business Variables'!$C$19)</f>
        <v>268125</v>
      </c>
    </row>
    <row r="31" spans="1:50" hidden="1" x14ac:dyDescent="0.25">
      <c r="A31" s="11" t="s">
        <v>97</v>
      </c>
      <c r="B31" s="11"/>
      <c r="C31" s="61">
        <f>SUM(C21:C22)*(1-'Key Business Variables'!$C$22)</f>
        <v>0</v>
      </c>
      <c r="D31" s="61">
        <f>SUM(D21:D22)*(1-'Key Business Variables'!$C$22)</f>
        <v>0</v>
      </c>
      <c r="E31" s="61">
        <f>SUM(E21:E22)*(1-'Key Business Variables'!$C$22)</f>
        <v>0</v>
      </c>
      <c r="F31" s="61">
        <f>SUM(F21:F22)*(1-'Key Business Variables'!$C$22)</f>
        <v>0</v>
      </c>
      <c r="G31" s="61">
        <f>SUM(G21:G22)*(1-'Key Business Variables'!$C$22)</f>
        <v>0</v>
      </c>
      <c r="H31" s="61">
        <f>SUM(H21:H22)*(1-'Key Business Variables'!$C$22)</f>
        <v>0</v>
      </c>
      <c r="I31" s="61">
        <f>SUM(I21:I22)*(1-'Key Business Variables'!$C$22)</f>
        <v>0</v>
      </c>
      <c r="J31" s="61">
        <f>SUM(J21:J22)*(1-'Key Business Variables'!$C$22)</f>
        <v>0</v>
      </c>
      <c r="K31" s="61">
        <f>SUM(K21:K22)*(1-'Key Business Variables'!$C$22)</f>
        <v>0</v>
      </c>
      <c r="L31" s="61">
        <f>SUM(L21:L22)*(1-'Key Business Variables'!$C$22)</f>
        <v>0</v>
      </c>
      <c r="M31" s="61">
        <f>SUM(M21:M22)*(1-'Key Business Variables'!$C$22)</f>
        <v>0</v>
      </c>
      <c r="N31" s="61">
        <f>SUM(N21:N22)*(1-'Key Business Variables'!$C$22)</f>
        <v>0</v>
      </c>
      <c r="O31" s="61">
        <f>SUM(O21:O22)*(1-'Key Business Variables'!$C$22)</f>
        <v>0</v>
      </c>
      <c r="P31" s="61">
        <f>SUM(P21:P22)*(1-'Key Business Variables'!$C$22)</f>
        <v>0</v>
      </c>
      <c r="Q31" s="61">
        <f>SUM(Q21:Q22)*(1-'Key Business Variables'!$C$22)</f>
        <v>0</v>
      </c>
      <c r="R31" s="61">
        <f>SUM(R21:R22)*(1-'Key Business Variables'!$C$22)</f>
        <v>0</v>
      </c>
      <c r="S31" s="61">
        <f>SUM(S21:S22)*(1-'Key Business Variables'!$C$22)</f>
        <v>0</v>
      </c>
      <c r="T31" s="61">
        <f>SUM(T21:T22)*(1-'Key Business Variables'!$C$22)</f>
        <v>0</v>
      </c>
      <c r="U31" s="61">
        <f>SUM(U21:U22)*(1-'Key Business Variables'!$C$22)</f>
        <v>0</v>
      </c>
      <c r="V31" s="61">
        <f>SUM(V21:V22)*(1-'Key Business Variables'!$C$22)</f>
        <v>0</v>
      </c>
      <c r="W31" s="61">
        <f>SUM(W21:W22)*(1-'Key Business Variables'!$C$22)</f>
        <v>0</v>
      </c>
      <c r="X31" s="61">
        <f>SUM(X21:X22)*(1-'Key Business Variables'!$C$22)</f>
        <v>0</v>
      </c>
      <c r="Y31" s="61">
        <f>SUM(Y21:Y22)*(1-'Key Business Variables'!$C$22)</f>
        <v>0</v>
      </c>
      <c r="Z31" s="61">
        <f>SUM(Z21:Z22)*(1-'Key Business Variables'!$C$22)</f>
        <v>0</v>
      </c>
      <c r="AA31" s="61">
        <f>SUM(AA21:AA22)*(1-'Key Business Variables'!$C$22)</f>
        <v>0</v>
      </c>
      <c r="AB31" s="61">
        <f>SUM(AB21:AB22)*(1-'Key Business Variables'!$C$22)</f>
        <v>0</v>
      </c>
      <c r="AC31" s="61">
        <f>SUM(AC21:AC22)*(1-'Key Business Variables'!$C$22)</f>
        <v>0</v>
      </c>
      <c r="AD31" s="61">
        <f>SUM(AD21:AD22)*(1-'Key Business Variables'!$C$22)</f>
        <v>0</v>
      </c>
      <c r="AE31" s="61">
        <f>SUM(AE21:AE22)*(1-'Key Business Variables'!$C$22)</f>
        <v>0</v>
      </c>
      <c r="AF31" s="61">
        <f>SUM(AF21:AF22)*(1-'Key Business Variables'!$C$22)</f>
        <v>0</v>
      </c>
      <c r="AG31" s="61">
        <f>SUM(AG21:AG22)*(1-'Key Business Variables'!$C$22)</f>
        <v>0</v>
      </c>
      <c r="AH31" s="61">
        <f>SUM(AH21:AH22)*(1-'Key Business Variables'!$C$22)</f>
        <v>0</v>
      </c>
      <c r="AI31" s="61">
        <f>SUM(AI21:AI22)*(1-'Key Business Variables'!$C$22)</f>
        <v>0</v>
      </c>
      <c r="AJ31" s="61">
        <f>SUM(AJ21:AJ22)*(1-'Key Business Variables'!$C$22)</f>
        <v>0</v>
      </c>
      <c r="AK31" s="61">
        <f>SUM(AK21:AK22)*(1-'Key Business Variables'!$C$22)</f>
        <v>0</v>
      </c>
      <c r="AL31" s="61">
        <f>SUM(AL21:AL22)*(1-'Key Business Variables'!$C$22)</f>
        <v>0</v>
      </c>
      <c r="AM31" s="61">
        <f>SUM(AM21:AM22)*(1-'Key Business Variables'!$C$22)</f>
        <v>0</v>
      </c>
      <c r="AN31" s="61">
        <f>SUM(AN21:AN22)*(1-'Key Business Variables'!$C$22)</f>
        <v>0</v>
      </c>
      <c r="AO31" s="61">
        <f>SUM(AO21:AO22)*(1-'Key Business Variables'!$C$22)</f>
        <v>0</v>
      </c>
      <c r="AP31" s="61">
        <f>SUM(AP21:AP22)*(1-'Key Business Variables'!$C$22)</f>
        <v>0</v>
      </c>
      <c r="AQ31" s="61">
        <f>SUM(AQ21:AQ22)*(1-'Key Business Variables'!$C$22)</f>
        <v>0</v>
      </c>
      <c r="AR31" s="61">
        <f>SUM(AR21:AR22)*(1-'Key Business Variables'!$C$22)</f>
        <v>0</v>
      </c>
      <c r="AS31" s="61">
        <f>SUM(AS21:AS22)*(1-'Key Business Variables'!$C$22)</f>
        <v>0</v>
      </c>
      <c r="AT31" s="61">
        <f>SUM(AT21:AT22)*(1-'Key Business Variables'!$C$22)</f>
        <v>0</v>
      </c>
      <c r="AU31" s="61">
        <f>SUM(AU21:AU22)*(1-'Key Business Variables'!$C$22)</f>
        <v>0</v>
      </c>
      <c r="AV31" s="61">
        <f>SUM(AV21:AV22)*(1-'Key Business Variables'!$C$22)</f>
        <v>0</v>
      </c>
      <c r="AW31" s="61">
        <f>SUM(AW21:AW22)*(1-'Key Business Variables'!$C$22)</f>
        <v>0</v>
      </c>
      <c r="AX31" s="61">
        <f>SUM(AX21:AX22)*(1-'Key Business Variables'!$C$22)</f>
        <v>0</v>
      </c>
    </row>
    <row r="32" spans="1:50" hidden="1" x14ac:dyDescent="0.2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</row>
    <row r="33" spans="1:50" hidden="1" x14ac:dyDescent="0.25">
      <c r="A33" s="11" t="s">
        <v>59</v>
      </c>
      <c r="B33" s="11"/>
      <c r="C33" s="61">
        <f>C10*'Key Business Variables'!$C$23</f>
        <v>0</v>
      </c>
      <c r="D33" s="61">
        <f>D10*'Key Business Variables'!$C$23</f>
        <v>0</v>
      </c>
      <c r="E33" s="61">
        <f>E10*'Key Business Variables'!$C$23</f>
        <v>0</v>
      </c>
      <c r="F33" s="61">
        <f>F10*'Key Business Variables'!$C$23</f>
        <v>0</v>
      </c>
      <c r="G33" s="61">
        <f>G10*'Key Business Variables'!$C$23</f>
        <v>0</v>
      </c>
      <c r="H33" s="61">
        <f>H10*'Key Business Variables'!$C$23</f>
        <v>0</v>
      </c>
      <c r="I33" s="61">
        <f>I10*'Key Business Variables'!$C$23</f>
        <v>0</v>
      </c>
      <c r="J33" s="61">
        <f>J10*'Key Business Variables'!$C$23</f>
        <v>0</v>
      </c>
      <c r="K33" s="61">
        <f>K10*'Key Business Variables'!$C$23</f>
        <v>0</v>
      </c>
      <c r="L33" s="61">
        <f>L10*'Key Business Variables'!$C$23</f>
        <v>0</v>
      </c>
      <c r="M33" s="61">
        <f>M10*'Key Business Variables'!$C$23</f>
        <v>0</v>
      </c>
      <c r="N33" s="61">
        <f>N10*'Key Business Variables'!$C$23</f>
        <v>0</v>
      </c>
      <c r="O33" s="61">
        <f>O10*'Key Business Variables'!$C$23</f>
        <v>0</v>
      </c>
      <c r="P33" s="61">
        <f>P10*'Key Business Variables'!$C$23</f>
        <v>0</v>
      </c>
      <c r="Q33" s="61">
        <f>Q10*'Key Business Variables'!$C$23</f>
        <v>0</v>
      </c>
      <c r="R33" s="61">
        <f>R10*'Key Business Variables'!$C$23</f>
        <v>0</v>
      </c>
      <c r="S33" s="61">
        <f>S10*'Key Business Variables'!$C$23</f>
        <v>0</v>
      </c>
      <c r="T33" s="61">
        <f>T10*'Key Business Variables'!$C$23</f>
        <v>0</v>
      </c>
      <c r="U33" s="61">
        <f>U10*'Key Business Variables'!$C$23</f>
        <v>0</v>
      </c>
      <c r="V33" s="61">
        <f>V10*'Key Business Variables'!$C$23</f>
        <v>0</v>
      </c>
      <c r="W33" s="61">
        <f>W10*'Key Business Variables'!$C$23</f>
        <v>0</v>
      </c>
      <c r="X33" s="61">
        <f>X10*'Key Business Variables'!$C$23</f>
        <v>0</v>
      </c>
      <c r="Y33" s="61">
        <f>Y10*'Key Business Variables'!$C$23</f>
        <v>0</v>
      </c>
      <c r="Z33" s="61">
        <f>Z10*'Key Business Variables'!$C$23</f>
        <v>0</v>
      </c>
      <c r="AA33" s="61">
        <f>AA10*'Key Business Variables'!$C$23</f>
        <v>0</v>
      </c>
      <c r="AB33" s="61">
        <f>AB10*'Key Business Variables'!$C$23</f>
        <v>0</v>
      </c>
      <c r="AC33" s="61">
        <f>AC10*'Key Business Variables'!$C$23</f>
        <v>0</v>
      </c>
      <c r="AD33" s="61">
        <f>AD10*'Key Business Variables'!$C$23</f>
        <v>0</v>
      </c>
      <c r="AE33" s="61">
        <f>AE10*'Key Business Variables'!$C$23</f>
        <v>0</v>
      </c>
      <c r="AF33" s="61">
        <f>AF10*'Key Business Variables'!$C$23</f>
        <v>0</v>
      </c>
      <c r="AG33" s="61">
        <f>AG10*'Key Business Variables'!$C$23</f>
        <v>0</v>
      </c>
      <c r="AH33" s="61">
        <f>AH10*'Key Business Variables'!$C$23</f>
        <v>0</v>
      </c>
      <c r="AI33" s="61">
        <f>AI10*'Key Business Variables'!$C$23</f>
        <v>0</v>
      </c>
      <c r="AJ33" s="61">
        <f>AJ10*'Key Business Variables'!$C$23</f>
        <v>0</v>
      </c>
      <c r="AK33" s="61">
        <f>AK10*'Key Business Variables'!$C$23</f>
        <v>0</v>
      </c>
      <c r="AL33" s="61">
        <f>AL10*'Key Business Variables'!$C$23</f>
        <v>0</v>
      </c>
      <c r="AM33" s="61">
        <f>AM10*'Key Business Variables'!$C$23</f>
        <v>0</v>
      </c>
      <c r="AN33" s="61">
        <f>AN10*'Key Business Variables'!$C$23</f>
        <v>0</v>
      </c>
      <c r="AO33" s="61">
        <f>AO10*'Key Business Variables'!$C$23</f>
        <v>0</v>
      </c>
      <c r="AP33" s="61">
        <f>AP10*'Key Business Variables'!$C$23</f>
        <v>0</v>
      </c>
      <c r="AQ33" s="61">
        <f>AQ10*'Key Business Variables'!$C$23</f>
        <v>0</v>
      </c>
      <c r="AR33" s="61">
        <f>AR10*'Key Business Variables'!$C$23</f>
        <v>0</v>
      </c>
      <c r="AS33" s="61">
        <f>AS10*'Key Business Variables'!$C$23</f>
        <v>0</v>
      </c>
      <c r="AT33" s="61">
        <f>AT10*'Key Business Variables'!$C$23</f>
        <v>0</v>
      </c>
      <c r="AU33" s="61">
        <f>AU10*'Key Business Variables'!$C$23</f>
        <v>0</v>
      </c>
      <c r="AV33" s="61">
        <f>AV10*'Key Business Variables'!$C$23</f>
        <v>0</v>
      </c>
      <c r="AW33" s="61">
        <f>AW10*'Key Business Variables'!$C$23</f>
        <v>0</v>
      </c>
      <c r="AX33" s="61">
        <f>AX10*'Key Business Variables'!$C$23</f>
        <v>0</v>
      </c>
    </row>
    <row r="34" spans="1:50" hidden="1" x14ac:dyDescent="0.25">
      <c r="A34" s="11" t="s">
        <v>60</v>
      </c>
      <c r="B34" s="11"/>
      <c r="C34" s="61">
        <f>C25*(1-'Key Business Variables'!$C$19)</f>
        <v>0</v>
      </c>
      <c r="D34" s="61">
        <f>D25*(1-'Key Business Variables'!$C$19)</f>
        <v>0</v>
      </c>
      <c r="E34" s="61">
        <f>E25*(1-'Key Business Variables'!$C$19)</f>
        <v>0</v>
      </c>
      <c r="F34" s="61">
        <f>F25*(1-'Key Business Variables'!$C$19)</f>
        <v>0</v>
      </c>
      <c r="G34" s="61">
        <f>G25*(1-'Key Business Variables'!$C$19)</f>
        <v>0</v>
      </c>
      <c r="H34" s="61">
        <f>H25*(1-'Key Business Variables'!$C$19)</f>
        <v>0</v>
      </c>
      <c r="I34" s="61">
        <f>I25*(1-'Key Business Variables'!$C$19)</f>
        <v>0</v>
      </c>
      <c r="J34" s="61">
        <f>J25*(1-'Key Business Variables'!$C$19)</f>
        <v>0</v>
      </c>
      <c r="K34" s="61">
        <f>K25*(1-'Key Business Variables'!$C$19)</f>
        <v>0</v>
      </c>
      <c r="L34" s="61">
        <f>L25*(1-'Key Business Variables'!$C$19)</f>
        <v>0</v>
      </c>
      <c r="M34" s="61">
        <f>M25*(1-'Key Business Variables'!$C$19)</f>
        <v>0</v>
      </c>
      <c r="N34" s="61">
        <f>N25*(1-'Key Business Variables'!$C$19)</f>
        <v>0</v>
      </c>
      <c r="O34" s="61">
        <f>O25*(1-'Key Business Variables'!$C$19)</f>
        <v>0</v>
      </c>
      <c r="P34" s="61">
        <f>P25*(1-'Key Business Variables'!$C$19)</f>
        <v>0</v>
      </c>
      <c r="Q34" s="61">
        <f>Q25*(1-'Key Business Variables'!$C$19)</f>
        <v>0</v>
      </c>
      <c r="R34" s="61">
        <f>R25*(1-'Key Business Variables'!$C$19)</f>
        <v>0</v>
      </c>
      <c r="S34" s="61">
        <f>S25*(1-'Key Business Variables'!$C$19)</f>
        <v>0</v>
      </c>
      <c r="T34" s="61">
        <f>T25*(1-'Key Business Variables'!$C$19)</f>
        <v>0</v>
      </c>
      <c r="U34" s="61">
        <f>U25*(1-'Key Business Variables'!$C$19)</f>
        <v>0</v>
      </c>
      <c r="V34" s="61">
        <f>V25*(1-'Key Business Variables'!$C$19)</f>
        <v>0</v>
      </c>
      <c r="W34" s="61">
        <f>W25*(1-'Key Business Variables'!$C$19)</f>
        <v>0</v>
      </c>
      <c r="X34" s="61">
        <f>X25*(1-'Key Business Variables'!$C$19)</f>
        <v>0</v>
      </c>
      <c r="Y34" s="61">
        <f>Y25*(1-'Key Business Variables'!$C$19)</f>
        <v>0</v>
      </c>
      <c r="Z34" s="61">
        <f>Z25*(1-'Key Business Variables'!$C$19)</f>
        <v>0</v>
      </c>
      <c r="AA34" s="61">
        <f>AA25*(1-'Key Business Variables'!$C$19)</f>
        <v>0</v>
      </c>
      <c r="AB34" s="61">
        <f>AB25*(1-'Key Business Variables'!$C$19)</f>
        <v>0</v>
      </c>
      <c r="AC34" s="61">
        <f>AC25*(1-'Key Business Variables'!$C$19)</f>
        <v>0</v>
      </c>
      <c r="AD34" s="61">
        <f>AD25*(1-'Key Business Variables'!$C$19)</f>
        <v>0</v>
      </c>
      <c r="AE34" s="61">
        <f>AE25*(1-'Key Business Variables'!$C$19)</f>
        <v>0</v>
      </c>
      <c r="AF34" s="61">
        <f>AF25*(1-'Key Business Variables'!$C$19)</f>
        <v>0</v>
      </c>
      <c r="AG34" s="61">
        <f>AG25*(1-'Key Business Variables'!$C$19)</f>
        <v>0</v>
      </c>
      <c r="AH34" s="61">
        <f>AH25*(1-'Key Business Variables'!$C$19)</f>
        <v>0</v>
      </c>
      <c r="AI34" s="61">
        <f>AI25*(1-'Key Business Variables'!$C$19)</f>
        <v>0</v>
      </c>
      <c r="AJ34" s="61">
        <f>AJ25*(1-'Key Business Variables'!$C$19)</f>
        <v>0</v>
      </c>
      <c r="AK34" s="61">
        <f>AK25*(1-'Key Business Variables'!$C$19)</f>
        <v>0</v>
      </c>
      <c r="AL34" s="61">
        <f>AL25*(1-'Key Business Variables'!$C$19)</f>
        <v>0</v>
      </c>
      <c r="AM34" s="61">
        <f>AM25*(1-'Key Business Variables'!$C$19)</f>
        <v>0</v>
      </c>
      <c r="AN34" s="61">
        <f>AN25*(1-'Key Business Variables'!$C$19)</f>
        <v>0</v>
      </c>
      <c r="AO34" s="61">
        <f>AO25*(1-'Key Business Variables'!$C$19)</f>
        <v>0</v>
      </c>
      <c r="AP34" s="61">
        <f>AP25*(1-'Key Business Variables'!$C$19)</f>
        <v>0</v>
      </c>
      <c r="AQ34" s="61">
        <f>AQ25*(1-'Key Business Variables'!$C$19)</f>
        <v>0</v>
      </c>
      <c r="AR34" s="61">
        <f>AR25*(1-'Key Business Variables'!$C$19)</f>
        <v>0</v>
      </c>
      <c r="AS34" s="61">
        <f>AS25*(1-'Key Business Variables'!$C$19)</f>
        <v>0</v>
      </c>
      <c r="AT34" s="61">
        <f>AT25*(1-'Key Business Variables'!$C$19)</f>
        <v>0</v>
      </c>
      <c r="AU34" s="61">
        <f>AU25*(1-'Key Business Variables'!$C$19)</f>
        <v>0</v>
      </c>
      <c r="AV34" s="61">
        <f>AV25*(1-'Key Business Variables'!$C$19)</f>
        <v>0</v>
      </c>
      <c r="AW34" s="61">
        <f>AW25*(1-'Key Business Variables'!$C$19)</f>
        <v>0</v>
      </c>
      <c r="AX34" s="61">
        <f>AX25*(1-'Key Business Variables'!$C$19)</f>
        <v>0</v>
      </c>
    </row>
    <row r="35" spans="1:50" hidden="1" x14ac:dyDescent="0.25">
      <c r="A35" s="11" t="s">
        <v>98</v>
      </c>
      <c r="B35" s="11"/>
      <c r="C35" s="61">
        <f>C26*(1-'Key Business Variables'!$C$22)</f>
        <v>0</v>
      </c>
      <c r="D35" s="61">
        <f>D26*(1-'Key Business Variables'!$C$22)</f>
        <v>0</v>
      </c>
      <c r="E35" s="61">
        <f>E26*(1-'Key Business Variables'!$C$22)</f>
        <v>0</v>
      </c>
      <c r="F35" s="61">
        <f>F26*(1-'Key Business Variables'!$C$22)</f>
        <v>0</v>
      </c>
      <c r="G35" s="61">
        <f>G26*(1-'Key Business Variables'!$C$22)</f>
        <v>0</v>
      </c>
      <c r="H35" s="61">
        <f>H26*(1-'Key Business Variables'!$C$22)</f>
        <v>0</v>
      </c>
      <c r="I35" s="61">
        <f>I26*(1-'Key Business Variables'!$C$22)</f>
        <v>0</v>
      </c>
      <c r="J35" s="61">
        <f>J26*(1-'Key Business Variables'!$C$22)</f>
        <v>0</v>
      </c>
      <c r="K35" s="61">
        <f>K26*(1-'Key Business Variables'!$C$22)</f>
        <v>0</v>
      </c>
      <c r="L35" s="61">
        <f>L26*(1-'Key Business Variables'!$C$22)</f>
        <v>0</v>
      </c>
      <c r="M35" s="61">
        <f>M26*(1-'Key Business Variables'!$C$22)</f>
        <v>0</v>
      </c>
      <c r="N35" s="61">
        <f>N26*(1-'Key Business Variables'!$C$22)</f>
        <v>0</v>
      </c>
      <c r="O35" s="61">
        <f>O26*(1-'Key Business Variables'!$C$22)</f>
        <v>0</v>
      </c>
      <c r="P35" s="61">
        <f>P26*(1-'Key Business Variables'!$C$22)</f>
        <v>0</v>
      </c>
      <c r="Q35" s="61">
        <f>Q26*(1-'Key Business Variables'!$C$22)</f>
        <v>0</v>
      </c>
      <c r="R35" s="61">
        <f>R26*(1-'Key Business Variables'!$C$22)</f>
        <v>0</v>
      </c>
      <c r="S35" s="61">
        <f>S26*(1-'Key Business Variables'!$C$22)</f>
        <v>0</v>
      </c>
      <c r="T35" s="61">
        <f>T26*(1-'Key Business Variables'!$C$22)</f>
        <v>0</v>
      </c>
      <c r="U35" s="61">
        <f>U26*(1-'Key Business Variables'!$C$22)</f>
        <v>0</v>
      </c>
      <c r="V35" s="61">
        <f>V26*(1-'Key Business Variables'!$C$22)</f>
        <v>0</v>
      </c>
      <c r="W35" s="61">
        <f>W26*(1-'Key Business Variables'!$C$22)</f>
        <v>0</v>
      </c>
      <c r="X35" s="61">
        <f>X26*(1-'Key Business Variables'!$C$22)</f>
        <v>0</v>
      </c>
      <c r="Y35" s="61">
        <f>Y26*(1-'Key Business Variables'!$C$22)</f>
        <v>0</v>
      </c>
      <c r="Z35" s="61">
        <f>Z26*(1-'Key Business Variables'!$C$22)</f>
        <v>0</v>
      </c>
      <c r="AA35" s="61">
        <f>AA26*(1-'Key Business Variables'!$C$22)</f>
        <v>0</v>
      </c>
      <c r="AB35" s="61">
        <f>AB26*(1-'Key Business Variables'!$C$22)</f>
        <v>0</v>
      </c>
      <c r="AC35" s="61">
        <f>AC26*(1-'Key Business Variables'!$C$22)</f>
        <v>0</v>
      </c>
      <c r="AD35" s="61">
        <f>AD26*(1-'Key Business Variables'!$C$22)</f>
        <v>0</v>
      </c>
      <c r="AE35" s="61">
        <f>AE26*(1-'Key Business Variables'!$C$22)</f>
        <v>0</v>
      </c>
      <c r="AF35" s="61">
        <f>AF26*(1-'Key Business Variables'!$C$22)</f>
        <v>0</v>
      </c>
      <c r="AG35" s="61">
        <f>AG26*(1-'Key Business Variables'!$C$22)</f>
        <v>0</v>
      </c>
      <c r="AH35" s="61">
        <f>AH26*(1-'Key Business Variables'!$C$22)</f>
        <v>0</v>
      </c>
      <c r="AI35" s="61">
        <f>AI26*(1-'Key Business Variables'!$C$22)</f>
        <v>0</v>
      </c>
      <c r="AJ35" s="61">
        <f>AJ26*(1-'Key Business Variables'!$C$22)</f>
        <v>0</v>
      </c>
      <c r="AK35" s="61">
        <f>AK26*(1-'Key Business Variables'!$C$22)</f>
        <v>0</v>
      </c>
      <c r="AL35" s="61">
        <f>AL26*(1-'Key Business Variables'!$C$22)</f>
        <v>0</v>
      </c>
      <c r="AM35" s="61">
        <f>AM26*(1-'Key Business Variables'!$C$22)</f>
        <v>0</v>
      </c>
      <c r="AN35" s="61">
        <f>AN26*(1-'Key Business Variables'!$C$22)</f>
        <v>0</v>
      </c>
      <c r="AO35" s="61">
        <f>AO26*(1-'Key Business Variables'!$C$22)</f>
        <v>0</v>
      </c>
      <c r="AP35" s="61">
        <f>AP26*(1-'Key Business Variables'!$C$22)</f>
        <v>0</v>
      </c>
      <c r="AQ35" s="61">
        <f>AQ26*(1-'Key Business Variables'!$C$22)</f>
        <v>0</v>
      </c>
      <c r="AR35" s="61">
        <f>AR26*(1-'Key Business Variables'!$C$22)</f>
        <v>0</v>
      </c>
      <c r="AS35" s="61">
        <f>AS26*(1-'Key Business Variables'!$C$22)</f>
        <v>0</v>
      </c>
      <c r="AT35" s="61">
        <f>AT26*(1-'Key Business Variables'!$C$22)</f>
        <v>0</v>
      </c>
      <c r="AU35" s="61">
        <f>AU26*(1-'Key Business Variables'!$C$22)</f>
        <v>0</v>
      </c>
      <c r="AV35" s="61">
        <f>AV26*(1-'Key Business Variables'!$C$22)</f>
        <v>0</v>
      </c>
      <c r="AW35" s="61">
        <f>AW26*(1-'Key Business Variables'!$C$22)</f>
        <v>0</v>
      </c>
      <c r="AX35" s="61">
        <f>AX26*(1-'Key Business Variables'!$C$22)</f>
        <v>0</v>
      </c>
    </row>
    <row r="36" spans="1:50" hidden="1" x14ac:dyDescent="0.25">
      <c r="A36" s="11"/>
      <c r="B36" s="1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</row>
    <row r="37" spans="1:50" hidden="1" x14ac:dyDescent="0.25">
      <c r="A37" s="3" t="s">
        <v>99</v>
      </c>
      <c r="C37" s="6">
        <f>(C10*'Key Business Variables'!$C$24)</f>
        <v>0</v>
      </c>
      <c r="D37" s="6">
        <f>(D10*'Key Business Variables'!$C$24)</f>
        <v>0</v>
      </c>
      <c r="E37" s="6">
        <f>(E10*'Key Business Variables'!$C$24)</f>
        <v>0</v>
      </c>
      <c r="F37" s="6">
        <f>(F10*'Key Business Variables'!$C$24)</f>
        <v>0</v>
      </c>
      <c r="G37" s="6">
        <f>(G10*'Key Business Variables'!$C$24)</f>
        <v>0</v>
      </c>
      <c r="H37" s="6">
        <f>(H10*'Key Business Variables'!$C$24)</f>
        <v>0</v>
      </c>
      <c r="I37" s="6">
        <f>(I10*'Key Business Variables'!$C$24)</f>
        <v>0</v>
      </c>
      <c r="J37" s="6">
        <f>(J10*'Key Business Variables'!$C$24)</f>
        <v>0</v>
      </c>
      <c r="K37" s="6">
        <f>(K10*'Key Business Variables'!$C$24)</f>
        <v>0</v>
      </c>
      <c r="L37" s="6">
        <f>(L10*'Key Business Variables'!$C$24)</f>
        <v>0</v>
      </c>
      <c r="M37" s="6">
        <f>(M10*'Key Business Variables'!$C$24)</f>
        <v>0</v>
      </c>
      <c r="N37" s="6">
        <f>(N10*'Key Business Variables'!$C$24)</f>
        <v>0</v>
      </c>
      <c r="O37" s="6">
        <f>(O10*'Key Business Variables'!$C$24)</f>
        <v>0</v>
      </c>
      <c r="P37" s="6">
        <f>(P10*'Key Business Variables'!$C$24)</f>
        <v>0</v>
      </c>
      <c r="Q37" s="6">
        <f>(Q10*'Key Business Variables'!$C$24)</f>
        <v>0</v>
      </c>
      <c r="R37" s="6">
        <f>(R10*'Key Business Variables'!$C$24)</f>
        <v>0</v>
      </c>
      <c r="S37" s="6">
        <f>(S10*'Key Business Variables'!$C$24)</f>
        <v>0</v>
      </c>
      <c r="T37" s="6">
        <f>(T10*'Key Business Variables'!$C$24)</f>
        <v>0</v>
      </c>
      <c r="U37" s="6">
        <f>(U10*'Key Business Variables'!$C$24)</f>
        <v>0</v>
      </c>
      <c r="V37" s="6">
        <f>(V10*'Key Business Variables'!$C$24)</f>
        <v>0</v>
      </c>
      <c r="W37" s="6">
        <f>(W10*'Key Business Variables'!$C$24)</f>
        <v>0</v>
      </c>
      <c r="X37" s="6">
        <f>(X10*'Key Business Variables'!$C$24)</f>
        <v>0</v>
      </c>
      <c r="Y37" s="6">
        <f>(Y10*'Key Business Variables'!$C$24)</f>
        <v>0</v>
      </c>
      <c r="Z37" s="6">
        <f>(Z10*'Key Business Variables'!$C$24)</f>
        <v>0</v>
      </c>
      <c r="AA37" s="6">
        <f>(AA10*'Key Business Variables'!$C$24)</f>
        <v>0</v>
      </c>
      <c r="AB37" s="6">
        <f>(AB10*'Key Business Variables'!$C$24)</f>
        <v>0</v>
      </c>
      <c r="AC37" s="6">
        <f>(AC10*'Key Business Variables'!$C$24)</f>
        <v>0</v>
      </c>
      <c r="AD37" s="6">
        <f>(AD10*'Key Business Variables'!$C$24)</f>
        <v>0</v>
      </c>
      <c r="AE37" s="6">
        <f>(AE10*'Key Business Variables'!$C$24)</f>
        <v>0</v>
      </c>
      <c r="AF37" s="6">
        <f>(AF10*'Key Business Variables'!$C$24)</f>
        <v>0</v>
      </c>
      <c r="AG37" s="6">
        <f>(AG10*'Key Business Variables'!$C$24)</f>
        <v>0</v>
      </c>
      <c r="AH37" s="6">
        <f>(AH10*'Key Business Variables'!$C$24)</f>
        <v>0</v>
      </c>
      <c r="AI37" s="6">
        <f>(AI10*'Key Business Variables'!$C$24)</f>
        <v>0</v>
      </c>
      <c r="AJ37" s="6">
        <f>(AJ10*'Key Business Variables'!$C$24)</f>
        <v>0</v>
      </c>
      <c r="AK37" s="6">
        <f>(AK10*'Key Business Variables'!$C$24)</f>
        <v>0</v>
      </c>
      <c r="AL37" s="6">
        <f>(AL10*'Key Business Variables'!$C$24)</f>
        <v>0</v>
      </c>
      <c r="AM37" s="6">
        <f>(AM10*'Key Business Variables'!$C$24)</f>
        <v>0</v>
      </c>
      <c r="AN37" s="6">
        <f>(AN10*'Key Business Variables'!$C$24)</f>
        <v>0</v>
      </c>
      <c r="AO37" s="6">
        <f>(AO10*'Key Business Variables'!$C$24)</f>
        <v>0</v>
      </c>
      <c r="AP37" s="6">
        <f>(AP10*'Key Business Variables'!$C$24)</f>
        <v>0</v>
      </c>
      <c r="AQ37" s="6">
        <f>(AQ10*'Key Business Variables'!$C$24)</f>
        <v>0</v>
      </c>
      <c r="AR37" s="6">
        <f>(AR10*'Key Business Variables'!$C$24)</f>
        <v>0</v>
      </c>
      <c r="AS37" s="6">
        <f>(AS10*'Key Business Variables'!$C$24)</f>
        <v>0</v>
      </c>
      <c r="AT37" s="6">
        <f>(AT10*'Key Business Variables'!$C$24)</f>
        <v>0</v>
      </c>
      <c r="AU37" s="6">
        <f>(AU10*'Key Business Variables'!$C$24)</f>
        <v>0</v>
      </c>
      <c r="AV37" s="6">
        <f>(AV10*'Key Business Variables'!$C$24)</f>
        <v>0</v>
      </c>
      <c r="AW37" s="6">
        <f>(AW10*'Key Business Variables'!$C$24)</f>
        <v>0</v>
      </c>
      <c r="AX37" s="6">
        <f>(AX10*'Key Business Variables'!$C$24)</f>
        <v>0</v>
      </c>
    </row>
    <row r="38" spans="1:50" hidden="1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33" customFormat="1" hidden="1" x14ac:dyDescent="0.25">
      <c r="A39" s="33" t="s">
        <v>94</v>
      </c>
      <c r="C39" s="34">
        <f>'Key Business Variables'!$F$5/12</f>
        <v>150000</v>
      </c>
      <c r="D39" s="34">
        <f>'Key Business Variables'!$F$5/12</f>
        <v>150000</v>
      </c>
      <c r="E39" s="34">
        <f>'Key Business Variables'!$F$5/12</f>
        <v>150000</v>
      </c>
      <c r="F39" s="34">
        <f>'Key Business Variables'!$F$5/12</f>
        <v>150000</v>
      </c>
      <c r="G39" s="34">
        <f>'Key Business Variables'!$F$5/12</f>
        <v>150000</v>
      </c>
      <c r="H39" s="34">
        <f>'Key Business Variables'!$F$5/12</f>
        <v>150000</v>
      </c>
      <c r="I39" s="34">
        <f>'Key Business Variables'!$F$5/12</f>
        <v>150000</v>
      </c>
      <c r="J39" s="34">
        <f>'Key Business Variables'!$F$5/12</f>
        <v>150000</v>
      </c>
      <c r="K39" s="34">
        <f>'Key Business Variables'!$F$5/12</f>
        <v>150000</v>
      </c>
      <c r="L39" s="34">
        <f>'Key Business Variables'!$F$5/12</f>
        <v>150000</v>
      </c>
      <c r="M39" s="34">
        <f>'Key Business Variables'!$F$5/12</f>
        <v>150000</v>
      </c>
      <c r="N39" s="34">
        <f>'Key Business Variables'!$F$5/12</f>
        <v>150000</v>
      </c>
      <c r="O39" s="34">
        <f>'Key Business Variables'!$G$5/12</f>
        <v>133125</v>
      </c>
      <c r="P39" s="34">
        <f>'Key Business Variables'!$G$5/12</f>
        <v>133125</v>
      </c>
      <c r="Q39" s="34">
        <f>'Key Business Variables'!$G$5/12</f>
        <v>133125</v>
      </c>
      <c r="R39" s="34">
        <f>'Key Business Variables'!$G$5/12</f>
        <v>133125</v>
      </c>
      <c r="S39" s="34">
        <f>'Key Business Variables'!$G$5/12</f>
        <v>133125</v>
      </c>
      <c r="T39" s="34">
        <f>'Key Business Variables'!$G$5/12</f>
        <v>133125</v>
      </c>
      <c r="U39" s="34">
        <f>'Key Business Variables'!$G$5/12</f>
        <v>133125</v>
      </c>
      <c r="V39" s="34">
        <f>'Key Business Variables'!$G$5/12</f>
        <v>133125</v>
      </c>
      <c r="W39" s="34">
        <f>'Key Business Variables'!$G$5/12</f>
        <v>133125</v>
      </c>
      <c r="X39" s="34">
        <f>'Key Business Variables'!$G$5/12</f>
        <v>133125</v>
      </c>
      <c r="Y39" s="34">
        <f>'Key Business Variables'!$G$5/12</f>
        <v>133125</v>
      </c>
      <c r="Z39" s="34">
        <f>'Key Business Variables'!$G$5/12</f>
        <v>133125</v>
      </c>
      <c r="AA39" s="34">
        <f>'Key Business Variables'!$I$5/12</f>
        <v>118500</v>
      </c>
      <c r="AB39" s="34">
        <f>'Key Business Variables'!$I$5/12</f>
        <v>118500</v>
      </c>
      <c r="AC39" s="34">
        <f>'Key Business Variables'!$I$5/12</f>
        <v>118500</v>
      </c>
      <c r="AD39" s="34">
        <f>'Key Business Variables'!$I$5/12</f>
        <v>118500</v>
      </c>
      <c r="AE39" s="34">
        <f>'Key Business Variables'!$I$5/12</f>
        <v>118500</v>
      </c>
      <c r="AF39" s="34">
        <f>'Key Business Variables'!$I$5/12</f>
        <v>118500</v>
      </c>
      <c r="AG39" s="34">
        <f>'Key Business Variables'!$I$5/12</f>
        <v>118500</v>
      </c>
      <c r="AH39" s="34">
        <f>'Key Business Variables'!$I$5/12</f>
        <v>118500</v>
      </c>
      <c r="AI39" s="34">
        <f>'Key Business Variables'!$I$5/12</f>
        <v>118500</v>
      </c>
      <c r="AJ39" s="34">
        <f>'Key Business Variables'!$I$5/12</f>
        <v>118500</v>
      </c>
      <c r="AK39" s="34">
        <f>'Key Business Variables'!$I$5/12</f>
        <v>118500</v>
      </c>
      <c r="AL39" s="34">
        <f>'Key Business Variables'!$I$5/12</f>
        <v>118500</v>
      </c>
      <c r="AM39" s="34">
        <f>'Key Business Variables'!$J$5/12</f>
        <v>97875</v>
      </c>
      <c r="AN39" s="34">
        <f>'Key Business Variables'!$J$5/12</f>
        <v>97875</v>
      </c>
      <c r="AO39" s="34">
        <f>'Key Business Variables'!$J$5/12</f>
        <v>97875</v>
      </c>
      <c r="AP39" s="34">
        <f>'Key Business Variables'!$J$5/12</f>
        <v>97875</v>
      </c>
      <c r="AQ39" s="34">
        <f>'Key Business Variables'!$J$5/12</f>
        <v>97875</v>
      </c>
      <c r="AR39" s="34">
        <f>'Key Business Variables'!$J$5/12</f>
        <v>97875</v>
      </c>
      <c r="AS39" s="34">
        <f>'Key Business Variables'!$J$5/12</f>
        <v>97875</v>
      </c>
      <c r="AT39" s="34">
        <f>'Key Business Variables'!$J$5/12</f>
        <v>97875</v>
      </c>
      <c r="AU39" s="34">
        <f>'Key Business Variables'!$J$5/12</f>
        <v>97875</v>
      </c>
      <c r="AV39" s="34">
        <f>'Key Business Variables'!$J$5/12</f>
        <v>97875</v>
      </c>
      <c r="AW39" s="34">
        <f>'Key Business Variables'!$J$5/12</f>
        <v>97875</v>
      </c>
      <c r="AX39" s="34">
        <f>'Key Business Variables'!$J$5/12</f>
        <v>97875</v>
      </c>
    </row>
    <row r="40" spans="1:50" s="33" customFormat="1" hidden="1" x14ac:dyDescent="0.25">
      <c r="A40" s="33" t="s">
        <v>95</v>
      </c>
      <c r="C40" s="34">
        <f>'Key Business Variables'!$F$7/12</f>
        <v>29166.666666666668</v>
      </c>
      <c r="D40" s="34">
        <f>'Key Business Variables'!$F$7/12</f>
        <v>29166.666666666668</v>
      </c>
      <c r="E40" s="34">
        <f>'Key Business Variables'!$F$7/12</f>
        <v>29166.666666666668</v>
      </c>
      <c r="F40" s="34">
        <f>'Key Business Variables'!$F$7/12</f>
        <v>29166.666666666668</v>
      </c>
      <c r="G40" s="34">
        <f>'Key Business Variables'!$F$7/12</f>
        <v>29166.666666666668</v>
      </c>
      <c r="H40" s="34">
        <f>'Key Business Variables'!$F$7/12</f>
        <v>29166.666666666668</v>
      </c>
      <c r="I40" s="34">
        <f>'Key Business Variables'!$F$7/12</f>
        <v>29166.666666666668</v>
      </c>
      <c r="J40" s="34">
        <f>'Key Business Variables'!$F$7/12</f>
        <v>29166.666666666668</v>
      </c>
      <c r="K40" s="34">
        <f>'Key Business Variables'!$F$7/12</f>
        <v>29166.666666666668</v>
      </c>
      <c r="L40" s="34">
        <f>'Key Business Variables'!$F$7/12</f>
        <v>29166.666666666668</v>
      </c>
      <c r="M40" s="34">
        <f>'Key Business Variables'!$F$7/12</f>
        <v>29166.666666666668</v>
      </c>
      <c r="N40" s="34">
        <f>'Key Business Variables'!$F$7/12</f>
        <v>29166.666666666668</v>
      </c>
      <c r="O40" s="34">
        <f>'Key Business Variables'!$G$7/12</f>
        <v>20833.333333333332</v>
      </c>
      <c r="P40" s="34">
        <f>'Key Business Variables'!$G$7/12</f>
        <v>20833.333333333332</v>
      </c>
      <c r="Q40" s="34">
        <f>'Key Business Variables'!$G$7/12</f>
        <v>20833.333333333332</v>
      </c>
      <c r="R40" s="34">
        <f>'Key Business Variables'!$G$7/12</f>
        <v>20833.333333333332</v>
      </c>
      <c r="S40" s="34">
        <f>'Key Business Variables'!$G$7/12</f>
        <v>20833.333333333332</v>
      </c>
      <c r="T40" s="34">
        <f>'Key Business Variables'!$G$7/12</f>
        <v>20833.333333333332</v>
      </c>
      <c r="U40" s="34">
        <f>'Key Business Variables'!$G$7/12</f>
        <v>20833.333333333332</v>
      </c>
      <c r="V40" s="34">
        <f>'Key Business Variables'!$G$7/12</f>
        <v>20833.333333333332</v>
      </c>
      <c r="W40" s="34">
        <f>'Key Business Variables'!$G$7/12</f>
        <v>20833.333333333332</v>
      </c>
      <c r="X40" s="34">
        <f>'Key Business Variables'!$G$7/12</f>
        <v>20833.333333333332</v>
      </c>
      <c r="Y40" s="34">
        <f>'Key Business Variables'!$G$7/12</f>
        <v>20833.333333333332</v>
      </c>
      <c r="Z40" s="34">
        <f>'Key Business Variables'!$G$7/12</f>
        <v>20833.333333333332</v>
      </c>
      <c r="AA40" s="34">
        <f>'Key Business Variables'!$I$7/12</f>
        <v>16666.666666666668</v>
      </c>
      <c r="AB40" s="34">
        <f>'Key Business Variables'!$I$7/12</f>
        <v>16666.666666666668</v>
      </c>
      <c r="AC40" s="34">
        <f>'Key Business Variables'!$I$7/12</f>
        <v>16666.666666666668</v>
      </c>
      <c r="AD40" s="34">
        <f>'Key Business Variables'!$I$7/12</f>
        <v>16666.666666666668</v>
      </c>
      <c r="AE40" s="34">
        <f>'Key Business Variables'!$I$7/12</f>
        <v>16666.666666666668</v>
      </c>
      <c r="AF40" s="34">
        <f>'Key Business Variables'!$I$7/12</f>
        <v>16666.666666666668</v>
      </c>
      <c r="AG40" s="34">
        <f>'Key Business Variables'!$I$7/12</f>
        <v>16666.666666666668</v>
      </c>
      <c r="AH40" s="34">
        <f>'Key Business Variables'!$I$7/12</f>
        <v>16666.666666666668</v>
      </c>
      <c r="AI40" s="34">
        <f>'Key Business Variables'!$I$7/12</f>
        <v>16666.666666666668</v>
      </c>
      <c r="AJ40" s="34">
        <f>'Key Business Variables'!$I$7/12</f>
        <v>16666.666666666668</v>
      </c>
      <c r="AK40" s="34">
        <f>'Key Business Variables'!$I$7/12</f>
        <v>16666.666666666668</v>
      </c>
      <c r="AL40" s="34">
        <f>'Key Business Variables'!$I$7/12</f>
        <v>16666.666666666668</v>
      </c>
      <c r="AM40" s="34">
        <f>'Key Business Variables'!$J$7/12</f>
        <v>16666.666666666668</v>
      </c>
      <c r="AN40" s="34">
        <f>'Key Business Variables'!$J$7/12</f>
        <v>16666.666666666668</v>
      </c>
      <c r="AO40" s="34">
        <f>'Key Business Variables'!$J$7/12</f>
        <v>16666.666666666668</v>
      </c>
      <c r="AP40" s="34">
        <f>'Key Business Variables'!$J$7/12</f>
        <v>16666.666666666668</v>
      </c>
      <c r="AQ40" s="34">
        <f>'Key Business Variables'!$J$7/12</f>
        <v>16666.666666666668</v>
      </c>
      <c r="AR40" s="34">
        <f>'Key Business Variables'!$J$7/12</f>
        <v>16666.666666666668</v>
      </c>
      <c r="AS40" s="34">
        <f>'Key Business Variables'!$J$7/12</f>
        <v>16666.666666666668</v>
      </c>
      <c r="AT40" s="34">
        <f>'Key Business Variables'!$J$7/12</f>
        <v>16666.666666666668</v>
      </c>
      <c r="AU40" s="34">
        <f>'Key Business Variables'!$J$7/12</f>
        <v>16666.666666666668</v>
      </c>
      <c r="AV40" s="34">
        <f>'Key Business Variables'!$J$7/12</f>
        <v>16666.666666666668</v>
      </c>
      <c r="AW40" s="34">
        <f>'Key Business Variables'!$J$7/12</f>
        <v>16666.666666666668</v>
      </c>
      <c r="AX40" s="34">
        <f>'Key Business Variables'!$J$7/12</f>
        <v>16666.666666666668</v>
      </c>
    </row>
    <row r="41" spans="1:50" hidden="1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idden="1" x14ac:dyDescent="0.25">
      <c r="A42" s="3" t="s">
        <v>26</v>
      </c>
      <c r="C42" s="6">
        <f>SUM(C18:C26)-SUM(C28:C40)</f>
        <v>39583.333333333314</v>
      </c>
      <c r="D42" s="6">
        <f t="shared" ref="D42:AX42" si="2">SUM(D18:D26)-SUM(D28:D40)</f>
        <v>39583.333333333314</v>
      </c>
      <c r="E42" s="6">
        <f t="shared" si="2"/>
        <v>39583.333333333314</v>
      </c>
      <c r="F42" s="6">
        <f t="shared" si="2"/>
        <v>39583.333333333314</v>
      </c>
      <c r="G42" s="6">
        <f t="shared" si="2"/>
        <v>39583.333333333314</v>
      </c>
      <c r="H42" s="6">
        <f t="shared" si="2"/>
        <v>39583.333333333314</v>
      </c>
      <c r="I42" s="6">
        <f t="shared" si="2"/>
        <v>39583.333333333314</v>
      </c>
      <c r="J42" s="6">
        <f t="shared" si="2"/>
        <v>39583.333333333314</v>
      </c>
      <c r="K42" s="6">
        <f t="shared" si="2"/>
        <v>39583.333333333314</v>
      </c>
      <c r="L42" s="6">
        <f t="shared" si="2"/>
        <v>39583.333333333314</v>
      </c>
      <c r="M42" s="6">
        <f t="shared" si="2"/>
        <v>39583.333333333314</v>
      </c>
      <c r="N42" s="6">
        <f t="shared" si="2"/>
        <v>39583.333333333314</v>
      </c>
      <c r="O42" s="6">
        <f t="shared" si="2"/>
        <v>66535.416666666686</v>
      </c>
      <c r="P42" s="6">
        <f t="shared" si="2"/>
        <v>68279.166666666686</v>
      </c>
      <c r="Q42" s="6">
        <f t="shared" si="2"/>
        <v>70022.916666666686</v>
      </c>
      <c r="R42" s="6">
        <f t="shared" si="2"/>
        <v>71766.666666666686</v>
      </c>
      <c r="S42" s="6">
        <f t="shared" si="2"/>
        <v>73510.416666666686</v>
      </c>
      <c r="T42" s="6">
        <f t="shared" si="2"/>
        <v>75254.166666666686</v>
      </c>
      <c r="U42" s="6">
        <f t="shared" si="2"/>
        <v>76997.916666666686</v>
      </c>
      <c r="V42" s="6">
        <f t="shared" si="2"/>
        <v>78741.666666666686</v>
      </c>
      <c r="W42" s="6">
        <f t="shared" si="2"/>
        <v>80485.416666666686</v>
      </c>
      <c r="X42" s="6">
        <f t="shared" si="2"/>
        <v>82229.166666666686</v>
      </c>
      <c r="Y42" s="6">
        <f t="shared" si="2"/>
        <v>83972.916666666686</v>
      </c>
      <c r="Z42" s="6">
        <f t="shared" si="2"/>
        <v>85716.666666666686</v>
      </c>
      <c r="AA42" s="6">
        <f t="shared" si="2"/>
        <v>106252.08333333331</v>
      </c>
      <c r="AB42" s="6">
        <f t="shared" si="2"/>
        <v>107995.83333333331</v>
      </c>
      <c r="AC42" s="6">
        <f t="shared" si="2"/>
        <v>109739.58333333331</v>
      </c>
      <c r="AD42" s="6">
        <f t="shared" si="2"/>
        <v>111483.33333333331</v>
      </c>
      <c r="AE42" s="6">
        <f t="shared" si="2"/>
        <v>113227.08333333331</v>
      </c>
      <c r="AF42" s="6">
        <f t="shared" si="2"/>
        <v>114970.83333333331</v>
      </c>
      <c r="AG42" s="6">
        <f t="shared" si="2"/>
        <v>116714.58333333331</v>
      </c>
      <c r="AH42" s="6">
        <f t="shared" si="2"/>
        <v>118458.33333333331</v>
      </c>
      <c r="AI42" s="6">
        <f t="shared" si="2"/>
        <v>120202.08333333331</v>
      </c>
      <c r="AJ42" s="6">
        <f t="shared" si="2"/>
        <v>121945.83333333331</v>
      </c>
      <c r="AK42" s="6">
        <f t="shared" si="2"/>
        <v>123689.58333333331</v>
      </c>
      <c r="AL42" s="6">
        <f t="shared" si="2"/>
        <v>125433.33333333331</v>
      </c>
      <c r="AM42" s="6">
        <f t="shared" si="2"/>
        <v>147802.08333333331</v>
      </c>
      <c r="AN42" s="6">
        <f t="shared" si="2"/>
        <v>149545.83333333331</v>
      </c>
      <c r="AO42" s="6">
        <f t="shared" si="2"/>
        <v>151289.58333333331</v>
      </c>
      <c r="AP42" s="6">
        <f t="shared" si="2"/>
        <v>153033.33333333331</v>
      </c>
      <c r="AQ42" s="6">
        <f t="shared" si="2"/>
        <v>154777.08333333331</v>
      </c>
      <c r="AR42" s="6">
        <f t="shared" si="2"/>
        <v>156520.83333333331</v>
      </c>
      <c r="AS42" s="6">
        <f t="shared" si="2"/>
        <v>158264.5833333332</v>
      </c>
      <c r="AT42" s="6">
        <f t="shared" si="2"/>
        <v>160008.3333333332</v>
      </c>
      <c r="AU42" s="6">
        <f t="shared" si="2"/>
        <v>161752.0833333332</v>
      </c>
      <c r="AV42" s="6">
        <f t="shared" si="2"/>
        <v>163495.8333333332</v>
      </c>
      <c r="AW42" s="6">
        <f t="shared" si="2"/>
        <v>165239.5833333332</v>
      </c>
      <c r="AX42" s="6">
        <f t="shared" si="2"/>
        <v>166983.3333333332</v>
      </c>
    </row>
    <row r="43" spans="1:50" hidden="1" x14ac:dyDescent="0.25">
      <c r="A43" s="3" t="s">
        <v>17</v>
      </c>
      <c r="C43" s="6">
        <f>C42</f>
        <v>39583.333333333314</v>
      </c>
      <c r="D43" s="6">
        <f>D42+C43</f>
        <v>79166.666666666628</v>
      </c>
      <c r="E43" s="6">
        <f>E42+D43</f>
        <v>118749.99999999994</v>
      </c>
      <c r="F43" s="6">
        <f t="shared" ref="F43:AX43" si="3">F42+E43</f>
        <v>158333.33333333326</v>
      </c>
      <c r="G43" s="6">
        <f t="shared" si="3"/>
        <v>197916.66666666657</v>
      </c>
      <c r="H43" s="6">
        <f t="shared" si="3"/>
        <v>237499.99999999988</v>
      </c>
      <c r="I43" s="6">
        <f t="shared" si="3"/>
        <v>277083.3333333332</v>
      </c>
      <c r="J43" s="6">
        <f t="shared" si="3"/>
        <v>316666.66666666651</v>
      </c>
      <c r="K43" s="6">
        <f t="shared" si="3"/>
        <v>356249.99999999983</v>
      </c>
      <c r="L43" s="6">
        <f t="shared" si="3"/>
        <v>395833.33333333314</v>
      </c>
      <c r="M43" s="6">
        <f t="shared" si="3"/>
        <v>435416.66666666645</v>
      </c>
      <c r="N43" s="6">
        <f t="shared" si="3"/>
        <v>474999.99999999977</v>
      </c>
      <c r="O43" s="6">
        <f t="shared" si="3"/>
        <v>541535.41666666651</v>
      </c>
      <c r="P43" s="6">
        <f t="shared" si="3"/>
        <v>609814.58333333326</v>
      </c>
      <c r="Q43" s="6">
        <f t="shared" si="3"/>
        <v>679837.5</v>
      </c>
      <c r="R43" s="6">
        <f t="shared" si="3"/>
        <v>751604.16666666674</v>
      </c>
      <c r="S43" s="6">
        <f t="shared" si="3"/>
        <v>825114.58333333349</v>
      </c>
      <c r="T43" s="6">
        <f t="shared" si="3"/>
        <v>900368.75000000023</v>
      </c>
      <c r="U43" s="6">
        <f t="shared" si="3"/>
        <v>977366.66666666698</v>
      </c>
      <c r="V43" s="6">
        <f t="shared" si="3"/>
        <v>1056108.3333333337</v>
      </c>
      <c r="W43" s="6">
        <f t="shared" si="3"/>
        <v>1136593.7500000005</v>
      </c>
      <c r="X43" s="6">
        <f t="shared" si="3"/>
        <v>1218822.9166666672</v>
      </c>
      <c r="Y43" s="6">
        <f t="shared" si="3"/>
        <v>1302795.833333334</v>
      </c>
      <c r="Z43" s="6">
        <f t="shared" si="3"/>
        <v>1388512.5000000007</v>
      </c>
      <c r="AA43" s="6">
        <f t="shared" si="3"/>
        <v>1494764.583333334</v>
      </c>
      <c r="AB43" s="6">
        <f t="shared" si="3"/>
        <v>1602760.4166666672</v>
      </c>
      <c r="AC43" s="6">
        <f t="shared" si="3"/>
        <v>1712500.0000000005</v>
      </c>
      <c r="AD43" s="6">
        <f t="shared" si="3"/>
        <v>1823983.3333333337</v>
      </c>
      <c r="AE43" s="6">
        <f t="shared" si="3"/>
        <v>1937210.416666667</v>
      </c>
      <c r="AF43" s="6">
        <f t="shared" si="3"/>
        <v>2052181.2500000002</v>
      </c>
      <c r="AG43" s="6">
        <f t="shared" si="3"/>
        <v>2168895.8333333335</v>
      </c>
      <c r="AH43" s="6">
        <f t="shared" si="3"/>
        <v>2287354.166666667</v>
      </c>
      <c r="AI43" s="6">
        <f t="shared" si="3"/>
        <v>2407556.2500000005</v>
      </c>
      <c r="AJ43" s="6">
        <f t="shared" si="3"/>
        <v>2529502.083333334</v>
      </c>
      <c r="AK43" s="6">
        <f t="shared" si="3"/>
        <v>2653191.6666666674</v>
      </c>
      <c r="AL43" s="6">
        <f>AL42+AK43</f>
        <v>2778625.0000000009</v>
      </c>
      <c r="AM43" s="6">
        <f t="shared" si="3"/>
        <v>2926427.0833333344</v>
      </c>
      <c r="AN43" s="6">
        <f t="shared" si="3"/>
        <v>3075972.9166666679</v>
      </c>
      <c r="AO43" s="6">
        <f t="shared" si="3"/>
        <v>3227262.5000000014</v>
      </c>
      <c r="AP43" s="6">
        <f t="shared" si="3"/>
        <v>3380295.8333333349</v>
      </c>
      <c r="AQ43" s="6">
        <f t="shared" si="3"/>
        <v>3535072.9166666684</v>
      </c>
      <c r="AR43" s="6">
        <f t="shared" si="3"/>
        <v>3691593.7500000019</v>
      </c>
      <c r="AS43" s="6">
        <f t="shared" si="3"/>
        <v>3849858.3333333349</v>
      </c>
      <c r="AT43" s="6">
        <f t="shared" si="3"/>
        <v>4009866.6666666679</v>
      </c>
      <c r="AU43" s="6">
        <f t="shared" si="3"/>
        <v>4171618.7500000009</v>
      </c>
      <c r="AV43" s="6">
        <f t="shared" si="3"/>
        <v>4335114.583333334</v>
      </c>
      <c r="AW43" s="6">
        <f t="shared" si="3"/>
        <v>4500354.166666667</v>
      </c>
      <c r="AX43" s="6">
        <f t="shared" si="3"/>
        <v>4667337.5</v>
      </c>
    </row>
    <row r="44" spans="1:50" hidden="1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idden="1" x14ac:dyDescent="0.25">
      <c r="A45" s="9" t="s">
        <v>14</v>
      </c>
      <c r="B45" s="9" t="s">
        <v>113</v>
      </c>
      <c r="C45" s="10">
        <v>1</v>
      </c>
      <c r="D45" s="10">
        <v>2</v>
      </c>
      <c r="E45" s="10">
        <v>3</v>
      </c>
      <c r="F45" s="10">
        <v>4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idden="1" x14ac:dyDescent="0.25">
      <c r="I46" s="6"/>
    </row>
    <row r="47" spans="1:50" hidden="1" x14ac:dyDescent="0.25">
      <c r="A47" s="11" t="s">
        <v>50</v>
      </c>
      <c r="B47" s="34">
        <v>0</v>
      </c>
      <c r="C47" s="6">
        <f>SUM(C18:N18)</f>
        <v>1500000</v>
      </c>
      <c r="D47" s="6">
        <f>SUM(O18:Z18)</f>
        <v>1500000</v>
      </c>
      <c r="E47" s="6">
        <f>SUM(AA18:AL18)</f>
        <v>1500000</v>
      </c>
      <c r="F47" s="6">
        <f>SUM(AM18:AX18)</f>
        <v>1500000</v>
      </c>
      <c r="G47" s="6">
        <f>SUM(C47:F47)</f>
        <v>6000000</v>
      </c>
      <c r="H47" s="6"/>
      <c r="I47" s="6"/>
    </row>
    <row r="48" spans="1:50" hidden="1" x14ac:dyDescent="0.25">
      <c r="A48" s="11" t="s">
        <v>58</v>
      </c>
      <c r="B48" s="34">
        <v>0</v>
      </c>
      <c r="C48" s="6">
        <f>SUM(C19:N19)</f>
        <v>0</v>
      </c>
      <c r="D48" s="6">
        <f>SUM(O19:Z19)</f>
        <v>146250</v>
      </c>
      <c r="E48" s="6">
        <f>SUM(AA19:AL19)</f>
        <v>416250</v>
      </c>
      <c r="F48" s="6">
        <f>SUM(AM19:AX19)</f>
        <v>686249.99999999988</v>
      </c>
      <c r="G48" s="6">
        <f t="shared" ref="G48:G60" si="4">SUM(C48:F48)</f>
        <v>1248750</v>
      </c>
      <c r="H48" s="6"/>
      <c r="I48" s="6"/>
    </row>
    <row r="49" spans="1:9" hidden="1" x14ac:dyDescent="0.25">
      <c r="A49" s="11" t="s">
        <v>51</v>
      </c>
      <c r="B49" s="34">
        <f>'P&amp;L Detail'!E9</f>
        <v>0</v>
      </c>
      <c r="C49" s="6">
        <f>SUM(C20:N20)</f>
        <v>4500000</v>
      </c>
      <c r="D49" s="6">
        <f>SUM(O20:Z20)</f>
        <v>4743750</v>
      </c>
      <c r="E49" s="6">
        <f>SUM(AA20:AL20)</f>
        <v>5193750</v>
      </c>
      <c r="F49" s="73">
        <f>SUM(AM20:AX20)</f>
        <v>5643750</v>
      </c>
      <c r="G49" s="6">
        <f t="shared" si="4"/>
        <v>20081250</v>
      </c>
      <c r="H49" s="6"/>
      <c r="I49" s="6"/>
    </row>
    <row r="50" spans="1:9" hidden="1" x14ac:dyDescent="0.25">
      <c r="A50" s="11" t="s">
        <v>83</v>
      </c>
      <c r="B50" s="34">
        <v>0</v>
      </c>
      <c r="C50" s="6">
        <f>SUM(C21:N21)</f>
        <v>0</v>
      </c>
      <c r="D50" s="6">
        <f>SUM(O21:Z21)</f>
        <v>0</v>
      </c>
      <c r="E50" s="6">
        <f>SUM(AA21:AL21)</f>
        <v>0</v>
      </c>
      <c r="F50" s="6">
        <f>SUM(AM21:AX21)</f>
        <v>0</v>
      </c>
      <c r="G50" s="6">
        <f t="shared" si="4"/>
        <v>0</v>
      </c>
      <c r="H50" s="6"/>
      <c r="I50" s="6"/>
    </row>
    <row r="51" spans="1:9" hidden="1" x14ac:dyDescent="0.25">
      <c r="A51" s="11" t="s">
        <v>85</v>
      </c>
      <c r="B51" s="34">
        <v>0</v>
      </c>
      <c r="C51" s="6">
        <f>SUM(C22:N22)</f>
        <v>0</v>
      </c>
      <c r="D51" s="6">
        <f>SUM(O22:Z22)</f>
        <v>0</v>
      </c>
      <c r="E51" s="6">
        <f>SUM(AA22:AL22)</f>
        <v>0</v>
      </c>
      <c r="F51" s="6">
        <f>SUM(AM22:AX22)</f>
        <v>0</v>
      </c>
      <c r="G51" s="6">
        <f t="shared" si="4"/>
        <v>0</v>
      </c>
      <c r="H51" s="6"/>
      <c r="I51" s="6"/>
    </row>
    <row r="52" spans="1:9" hidden="1" x14ac:dyDescent="0.25">
      <c r="A52" s="11"/>
      <c r="B52" s="34"/>
      <c r="C52" s="6"/>
      <c r="D52" s="6"/>
      <c r="E52" s="6"/>
      <c r="F52" s="6"/>
      <c r="G52" s="6"/>
      <c r="H52" s="6"/>
      <c r="I52" s="6"/>
    </row>
    <row r="53" spans="1:9" hidden="1" x14ac:dyDescent="0.25">
      <c r="A53" s="11" t="s">
        <v>52</v>
      </c>
      <c r="B53" s="34">
        <v>0</v>
      </c>
      <c r="C53" s="6">
        <f>SUM(C24:N24)</f>
        <v>0</v>
      </c>
      <c r="D53" s="6">
        <f>SUM(O24:Z24)</f>
        <v>0</v>
      </c>
      <c r="E53" s="6">
        <f>SUM(AA24:AL24)</f>
        <v>0</v>
      </c>
      <c r="F53" s="6">
        <f>SUM(AM24:AX24)</f>
        <v>0</v>
      </c>
      <c r="G53" s="6">
        <f t="shared" si="4"/>
        <v>0</v>
      </c>
      <c r="H53" s="6"/>
      <c r="I53" s="6"/>
    </row>
    <row r="54" spans="1:9" hidden="1" x14ac:dyDescent="0.25">
      <c r="A54" s="11" t="s">
        <v>53</v>
      </c>
      <c r="B54" s="34">
        <v>0</v>
      </c>
      <c r="C54" s="6">
        <f>SUM(C25:N25)</f>
        <v>0</v>
      </c>
      <c r="D54" s="6">
        <f>SUM(O25:Z25)</f>
        <v>0</v>
      </c>
      <c r="E54" s="6">
        <f>SUM(AA25:AL25)</f>
        <v>0</v>
      </c>
      <c r="F54" s="6">
        <f>SUM(AM25:AX25)</f>
        <v>0</v>
      </c>
      <c r="G54" s="6">
        <f t="shared" si="4"/>
        <v>0</v>
      </c>
      <c r="H54" s="6"/>
      <c r="I54" s="6"/>
    </row>
    <row r="55" spans="1:9" hidden="1" x14ac:dyDescent="0.25">
      <c r="A55" s="11" t="s">
        <v>54</v>
      </c>
      <c r="B55" s="34">
        <v>0</v>
      </c>
      <c r="C55" s="6">
        <f>SUM(C26:N26)</f>
        <v>0</v>
      </c>
      <c r="D55" s="6">
        <f>SUM(O26:Z26)</f>
        <v>0</v>
      </c>
      <c r="E55" s="6">
        <f>SUM(AA26:AL26)</f>
        <v>0</v>
      </c>
      <c r="F55" s="6">
        <f>SUM(AM26:AX26)</f>
        <v>0</v>
      </c>
      <c r="G55" s="6">
        <f t="shared" si="4"/>
        <v>0</v>
      </c>
      <c r="H55" s="6"/>
      <c r="I55" s="6"/>
    </row>
    <row r="56" spans="1:9" hidden="1" x14ac:dyDescent="0.25">
      <c r="A56" s="11"/>
      <c r="B56" s="34"/>
      <c r="C56" s="6"/>
      <c r="D56" s="6"/>
      <c r="E56" s="6"/>
      <c r="F56" s="6"/>
      <c r="G56" s="6"/>
      <c r="H56" s="6"/>
      <c r="I56" s="6"/>
    </row>
    <row r="57" spans="1:9" hidden="1" x14ac:dyDescent="0.25">
      <c r="A57" s="11" t="s">
        <v>56</v>
      </c>
      <c r="B57" s="34">
        <f>'P&amp;L Detail'!E20</f>
        <v>0</v>
      </c>
      <c r="C57" s="6">
        <f>SUM(C28:N28)</f>
        <v>900000</v>
      </c>
      <c r="D57" s="6">
        <f>SUM(O28:Z28)</f>
        <v>900000</v>
      </c>
      <c r="E57" s="6">
        <f>SUM(AA28:AL28)</f>
        <v>900000</v>
      </c>
      <c r="F57" s="6">
        <f>SUM(AM28:AX28)</f>
        <v>900000</v>
      </c>
      <c r="G57" s="6">
        <f t="shared" si="4"/>
        <v>3600000</v>
      </c>
      <c r="H57" s="141">
        <f>G57/G47</f>
        <v>0.6</v>
      </c>
      <c r="I57" s="6"/>
    </row>
    <row r="58" spans="1:9" hidden="1" x14ac:dyDescent="0.25">
      <c r="A58" s="11" t="s">
        <v>116</v>
      </c>
      <c r="B58" s="34"/>
      <c r="C58" s="6">
        <f>SUM(C29:N29)</f>
        <v>0</v>
      </c>
      <c r="D58" s="6">
        <f>SUM(O29:Z29)</f>
        <v>119925</v>
      </c>
      <c r="E58" s="6">
        <f>SUM(AA29:AL29)</f>
        <v>341325</v>
      </c>
      <c r="F58" s="6">
        <f>SUM(AM29:AX29)</f>
        <v>562725</v>
      </c>
      <c r="G58" s="6">
        <f t="shared" si="4"/>
        <v>1023975</v>
      </c>
      <c r="H58" s="141">
        <f>G58/G48</f>
        <v>0.82</v>
      </c>
      <c r="I58" s="6"/>
    </row>
    <row r="59" spans="1:9" hidden="1" x14ac:dyDescent="0.25">
      <c r="A59" s="11" t="s">
        <v>57</v>
      </c>
      <c r="B59" s="34">
        <f>'P&amp;L Detail'!E25</f>
        <v>0</v>
      </c>
      <c r="C59" s="6">
        <f>SUM(C30:N30)</f>
        <v>2475000.0000000005</v>
      </c>
      <c r="D59" s="6">
        <f>SUM(O30:Z30)</f>
        <v>2609062.5000000005</v>
      </c>
      <c r="E59" s="6">
        <f>SUM(AA30:AL30)</f>
        <v>2856562.5000000005</v>
      </c>
      <c r="F59" s="6">
        <f>SUM(AM30:AX30)</f>
        <v>3104062.5</v>
      </c>
      <c r="G59" s="6">
        <f t="shared" si="4"/>
        <v>11044687.500000002</v>
      </c>
      <c r="H59" s="141">
        <f>G59/G49</f>
        <v>0.55000000000000004</v>
      </c>
      <c r="I59" s="6"/>
    </row>
    <row r="60" spans="1:9" hidden="1" x14ac:dyDescent="0.25">
      <c r="A60" s="11" t="s">
        <v>97</v>
      </c>
      <c r="B60" s="34"/>
      <c r="C60" s="6">
        <f>SUM(C31:N31)</f>
        <v>0</v>
      </c>
      <c r="D60" s="6">
        <f>SUM(O31:Z31)</f>
        <v>0</v>
      </c>
      <c r="E60" s="6">
        <f>SUM(AA31:AL31)</f>
        <v>0</v>
      </c>
      <c r="F60" s="6">
        <f>SUM(AM31:AX31)</f>
        <v>0</v>
      </c>
      <c r="G60" s="6">
        <f t="shared" si="4"/>
        <v>0</v>
      </c>
      <c r="H60" s="6"/>
      <c r="I60" s="6"/>
    </row>
    <row r="61" spans="1:9" hidden="1" x14ac:dyDescent="0.25">
      <c r="A61" s="33"/>
      <c r="B61" s="34"/>
      <c r="C61" s="6"/>
      <c r="D61" s="6"/>
      <c r="E61" s="6"/>
      <c r="F61" s="6"/>
      <c r="H61" s="6"/>
      <c r="I61" s="6"/>
    </row>
    <row r="62" spans="1:9" hidden="1" x14ac:dyDescent="0.25">
      <c r="A62" s="11" t="s">
        <v>59</v>
      </c>
      <c r="B62" s="34">
        <v>0</v>
      </c>
      <c r="C62" s="6">
        <f>SUM(C33:N33)</f>
        <v>0</v>
      </c>
      <c r="D62" s="6">
        <f>SUM(O33:Z33)</f>
        <v>0</v>
      </c>
      <c r="E62" s="6">
        <f>SUM(AA33:AL33)</f>
        <v>0</v>
      </c>
      <c r="F62" s="6">
        <f>SUM(AM33:AX33)</f>
        <v>0</v>
      </c>
      <c r="H62" s="6"/>
      <c r="I62" s="6"/>
    </row>
    <row r="63" spans="1:9" hidden="1" x14ac:dyDescent="0.25">
      <c r="A63" s="11" t="s">
        <v>60</v>
      </c>
      <c r="B63" s="34">
        <v>0</v>
      </c>
      <c r="C63" s="6">
        <f>SUM(C34:N34)</f>
        <v>0</v>
      </c>
      <c r="D63" s="6">
        <f>SUM(O34:Z34)</f>
        <v>0</v>
      </c>
      <c r="E63" s="6">
        <f>SUM(AA34:AL34)</f>
        <v>0</v>
      </c>
      <c r="F63" s="6">
        <f>SUM(AM34:AX34)</f>
        <v>0</v>
      </c>
      <c r="H63" s="6"/>
      <c r="I63" s="6"/>
    </row>
    <row r="64" spans="1:9" hidden="1" x14ac:dyDescent="0.25">
      <c r="A64" s="11" t="s">
        <v>98</v>
      </c>
      <c r="B64" s="34">
        <v>0</v>
      </c>
      <c r="C64" s="6">
        <f>SUM(C35:N35)</f>
        <v>0</v>
      </c>
      <c r="D64" s="6">
        <f>SUM(O35:Z35)</f>
        <v>0</v>
      </c>
      <c r="E64" s="6">
        <f>SUM(AA35:AL35)</f>
        <v>0</v>
      </c>
      <c r="F64" s="6">
        <f>SUM(AM35:AX35)</f>
        <v>0</v>
      </c>
      <c r="H64" s="6"/>
      <c r="I64" s="6"/>
    </row>
    <row r="65" spans="1:50" hidden="1" x14ac:dyDescent="0.25">
      <c r="A65" s="11"/>
      <c r="B65" s="34"/>
      <c r="C65" s="6"/>
      <c r="D65" s="6"/>
      <c r="E65" s="6"/>
      <c r="F65" s="6"/>
      <c r="H65" s="6"/>
      <c r="I65" s="6"/>
    </row>
    <row r="66" spans="1:50" hidden="1" x14ac:dyDescent="0.25">
      <c r="A66" s="33" t="s">
        <v>62</v>
      </c>
      <c r="B66" s="34">
        <v>0</v>
      </c>
      <c r="C66" s="6">
        <f>SUM(C37:N37)</f>
        <v>0</v>
      </c>
      <c r="D66" s="6">
        <f>SUM(O37:Z37)</f>
        <v>0</v>
      </c>
      <c r="E66" s="6">
        <f>SUM(AA37:AL37)</f>
        <v>0</v>
      </c>
      <c r="F66" s="6">
        <f>SUM(AM37:AX37)</f>
        <v>0</v>
      </c>
      <c r="H66" s="6"/>
      <c r="I66" s="6"/>
    </row>
    <row r="67" spans="1:50" hidden="1" x14ac:dyDescent="0.25">
      <c r="B67" s="6"/>
      <c r="C67" s="6"/>
      <c r="D67" s="6"/>
      <c r="E67" s="6"/>
      <c r="F67" s="6"/>
      <c r="H67" s="6"/>
      <c r="I67" s="6"/>
    </row>
    <row r="68" spans="1:50" hidden="1" x14ac:dyDescent="0.25">
      <c r="B68" s="6"/>
      <c r="I68" s="6"/>
    </row>
    <row r="69" spans="1:50" hidden="1" x14ac:dyDescent="0.25">
      <c r="A69" s="33" t="s">
        <v>94</v>
      </c>
      <c r="B69" s="34"/>
      <c r="C69" s="6">
        <f>SUM(C39:N39)</f>
        <v>1800000</v>
      </c>
      <c r="D69" s="6">
        <f>SUM(O39:Z39)</f>
        <v>1597500</v>
      </c>
      <c r="E69" s="6">
        <f>SUM(AA39:AL39)</f>
        <v>1422000</v>
      </c>
      <c r="F69" s="6">
        <f>SUM(AM39:AX39)</f>
        <v>1174500</v>
      </c>
      <c r="H69" s="6"/>
      <c r="I69" s="6"/>
    </row>
    <row r="70" spans="1:50" hidden="1" x14ac:dyDescent="0.25">
      <c r="A70" s="33" t="s">
        <v>95</v>
      </c>
      <c r="B70" s="34"/>
      <c r="C70" s="6">
        <f>SUM(C40:N40)</f>
        <v>350000.00000000006</v>
      </c>
      <c r="D70" s="6">
        <f>SUM(O40:Z40)</f>
        <v>250000.00000000003</v>
      </c>
      <c r="E70" s="6">
        <f>SUM(AA40:AL40)</f>
        <v>199999.99999999997</v>
      </c>
      <c r="F70" s="6">
        <f>SUM(AM40:AX40)</f>
        <v>199999.99999999997</v>
      </c>
      <c r="H70" s="6"/>
      <c r="I70" s="6"/>
    </row>
    <row r="71" spans="1:50" hidden="1" x14ac:dyDescent="0.25">
      <c r="B71" s="6"/>
    </row>
    <row r="72" spans="1:50" hidden="1" x14ac:dyDescent="0.25">
      <c r="B72" s="6"/>
      <c r="C72" s="6">
        <f>SUM(C47:C56)-SUM(C57:C67)</f>
        <v>2624999.9999999995</v>
      </c>
      <c r="D72" s="6">
        <f>SUM(D47:D56)-SUM(D57:D67)</f>
        <v>2761012.4999999995</v>
      </c>
      <c r="E72" s="6">
        <f>SUM(E47:E56)-SUM(E57:E67)</f>
        <v>3012112.4999999995</v>
      </c>
      <c r="F72" s="6">
        <f>SUM(F47:F56)-SUM(F57:F67)</f>
        <v>3263212.5</v>
      </c>
    </row>
    <row r="73" spans="1:50" hidden="1" x14ac:dyDescent="0.25">
      <c r="B73" s="6"/>
    </row>
    <row r="74" spans="1:50" hidden="1" x14ac:dyDescent="0.25">
      <c r="B74" s="6"/>
      <c r="C74" s="6">
        <f>C72-SUM(C69:C70)</f>
        <v>474999.99999999953</v>
      </c>
      <c r="D74" s="6">
        <f t="shared" ref="D74:F74" si="5">D72-SUM(D69:D70)</f>
        <v>913512.49999999953</v>
      </c>
      <c r="E74" s="6">
        <f t="shared" si="5"/>
        <v>1390112.4999999995</v>
      </c>
      <c r="F74" s="6">
        <f t="shared" si="5"/>
        <v>1888712.5</v>
      </c>
    </row>
    <row r="75" spans="1:50" hidden="1" x14ac:dyDescent="0.25"/>
    <row r="76" spans="1:50" hidden="1" x14ac:dyDescent="0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</sheetData>
  <sheetProtection algorithmName="SHA-512" hashValue="jMYzNiCERN9+bYQi0S+GzmRqq/uk6h22GFm24Y+MS3l5o0MzKhE9khDQjl/y0N4yfdx7d4dvrVxBVzOSeW66Xw==" saltValue="OrTquRuATOKvryHqgTKsPg==" spinCount="100000" sheet="1" objects="1" scenarios="1"/>
  <mergeCells count="1">
    <mergeCell ref="C1:AX1"/>
  </mergeCells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C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6460F8CA3D646A1BE767F90F283D2" ma:contentTypeVersion="2" ma:contentTypeDescription="Create a new document." ma:contentTypeScope="" ma:versionID="857a4a91ba839ae9ab014d1331b523e1">
  <xsd:schema xmlns:xsd="http://www.w3.org/2001/XMLSchema" xmlns:xs="http://www.w3.org/2001/XMLSchema" xmlns:p="http://schemas.microsoft.com/office/2006/metadata/properties" xmlns:ns2="ce7f45f4-ea17-414a-988a-8a25b6d77461" targetNamespace="http://schemas.microsoft.com/office/2006/metadata/properties" ma:root="true" ma:fieldsID="86ff228edc14a6e73740418b84145c0d" ns2:_="">
    <xsd:import namespace="ce7f45f4-ea17-414a-988a-8a25b6d774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f45f4-ea17-414a-988a-8a25b6d774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5A8E78-5464-4267-84E4-FF82606DEC6B}"/>
</file>

<file path=customXml/itemProps2.xml><?xml version="1.0" encoding="utf-8"?>
<ds:datastoreItem xmlns:ds="http://schemas.openxmlformats.org/officeDocument/2006/customXml" ds:itemID="{8C76E0B4-1FA9-43CE-8EB6-77D87F7DE859}"/>
</file>

<file path=customXml/itemProps3.xml><?xml version="1.0" encoding="utf-8"?>
<ds:datastoreItem xmlns:ds="http://schemas.openxmlformats.org/officeDocument/2006/customXml" ds:itemID="{90CC24DD-E5FE-46DD-901C-9B47CE33A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Valuation Stats</vt:lpstr>
      <vt:lpstr>Key Business Variables</vt:lpstr>
      <vt:lpstr>P&amp;L Detail</vt:lpstr>
      <vt:lpstr>Cash Flow</vt:lpstr>
      <vt:lpstr>Resourcing</vt:lpstr>
      <vt:lpstr>Subscribers</vt:lpstr>
      <vt:lpstr>Core Calculations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Willmer</dc:creator>
  <dc:description>© 1 ClickFactory 2014. All rights reserved.</dc:description>
  <cp:lastModifiedBy>Dana Willmer</cp:lastModifiedBy>
  <cp:lastPrinted>2011-05-31T20:13:44Z</cp:lastPrinted>
  <dcterms:created xsi:type="dcterms:W3CDTF">2010-11-09T18:01:08Z</dcterms:created>
  <dcterms:modified xsi:type="dcterms:W3CDTF">2016-03-10T05:35:09Z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0x010100BAA6460F8CA3D646A1BE767F90F283D2</vt:lpwstr>
  </property>
</Properties>
</file>