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5.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olors3.xml" ContentType="application/vnd.ms-office.chartcolorstyle+xml"/>
  <Override PartName="/xl/charts/style3.xml" ContentType="application/vnd.ms-office.chartstyle+xml"/>
  <Override PartName="/xl/charts/chart3.xml" ContentType="application/vnd.openxmlformats-officedocument.drawingml.char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charts/style1.xml" ContentType="application/vnd.ms-office.chartstyle+xml"/>
  <Override PartName="/xl/charts/chart2.xml" ContentType="application/vnd.openxmlformats-officedocument.drawingml.chart+xml"/>
  <Override PartName="/xl/charts/colors1.xml" ContentType="application/vnd.ms-office.chartcolorstyle+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xl/comments2.xml" ContentType="application/vnd.openxmlformats-officedocument.spreadsheetml.comment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C:\Users\ichin\Documents\fy17\final MPN update docs\"/>
    </mc:Choice>
  </mc:AlternateContent>
  <bookViews>
    <workbookView xWindow="0" yWindow="0" windowWidth="28800" windowHeight="11310" tabRatio="830" activeTab="2"/>
  </bookViews>
  <sheets>
    <sheet name="Services Overview &amp; Costs" sheetId="56" r:id="rId1"/>
    <sheet name="Definitions" sheetId="55" r:id="rId2"/>
    <sheet name="Key Variables" sheetId="44" r:id="rId3"/>
    <sheet name="P&amp;L Detail" sheetId="30" r:id="rId4"/>
    <sheet name="Users" sheetId="52" r:id="rId5"/>
    <sheet name="Cash Flow" sheetId="39" r:id="rId6"/>
    <sheet name="Resourcing" sheetId="54" r:id="rId7"/>
    <sheet name="&quot;Fine Tune&quot; Variables" sheetId="48" state="hidden" r:id="rId8"/>
    <sheet name="Core Calculations" sheetId="31" state="hidden" r:id="rId9"/>
  </sheets>
  <definedNames>
    <definedName name="PaymentFrequency">'Key Variables'!#REF!</definedName>
    <definedName name="rationalize">'"Fine Tune" Variables'!#REF!</definedName>
  </definedNames>
  <calcPr calcId="171027"/>
</workbook>
</file>

<file path=xl/calcChain.xml><?xml version="1.0" encoding="utf-8"?>
<calcChain xmlns="http://schemas.openxmlformats.org/spreadsheetml/2006/main">
  <c r="B4" i="31" l="1"/>
  <c r="B26" i="31" s="1"/>
  <c r="C4" i="31"/>
  <c r="C26" i="31" s="1"/>
  <c r="D4" i="31"/>
  <c r="D26" i="31" s="1"/>
  <c r="E4" i="31"/>
  <c r="E26" i="31" s="1"/>
  <c r="E34" i="31" s="1"/>
  <c r="F4" i="31"/>
  <c r="F26" i="31" s="1"/>
  <c r="F34" i="31" s="1"/>
  <c r="G4" i="31"/>
  <c r="G26" i="31" s="1"/>
  <c r="G34" i="31" s="1"/>
  <c r="H4" i="31"/>
  <c r="H26" i="31" s="1"/>
  <c r="H34" i="31" s="1"/>
  <c r="I4" i="31"/>
  <c r="I26" i="31" s="1"/>
  <c r="I34" i="31" s="1"/>
  <c r="J4" i="31"/>
  <c r="J26" i="31" s="1"/>
  <c r="J34" i="31" s="1"/>
  <c r="K4" i="31"/>
  <c r="K26" i="31" s="1"/>
  <c r="K34" i="31" s="1"/>
  <c r="L4" i="31"/>
  <c r="L26" i="31" s="1"/>
  <c r="L34" i="31" s="1"/>
  <c r="M4" i="31"/>
  <c r="M26" i="31" s="1"/>
  <c r="M34" i="31" s="1"/>
  <c r="C84" i="44"/>
  <c r="B42" i="31"/>
  <c r="C42" i="31"/>
  <c r="E42" i="31"/>
  <c r="AA50" i="31"/>
  <c r="N4" i="31"/>
  <c r="N26" i="31" s="1"/>
  <c r="N34" i="31" s="1"/>
  <c r="O4" i="31"/>
  <c r="O26" i="31" s="1"/>
  <c r="O34" i="31" s="1"/>
  <c r="P4" i="31"/>
  <c r="P26" i="31" s="1"/>
  <c r="Q4" i="31"/>
  <c r="Q26" i="31" s="1"/>
  <c r="R4" i="31"/>
  <c r="R26" i="31" s="1"/>
  <c r="R34" i="31" s="1"/>
  <c r="S4" i="31"/>
  <c r="S26" i="31" s="1"/>
  <c r="S34" i="31" s="1"/>
  <c r="T4" i="31"/>
  <c r="T26" i="31" s="1"/>
  <c r="U4" i="31"/>
  <c r="U26" i="31" s="1"/>
  <c r="U34" i="31" s="1"/>
  <c r="V4" i="31"/>
  <c r="V26" i="31" s="1"/>
  <c r="V34" i="31" s="1"/>
  <c r="W4" i="31"/>
  <c r="W26" i="31" s="1"/>
  <c r="W34" i="31" s="1"/>
  <c r="X4" i="31"/>
  <c r="X26" i="31" s="1"/>
  <c r="Y4" i="31"/>
  <c r="Y26" i="31" s="1"/>
  <c r="Y34" i="31" s="1"/>
  <c r="Z4" i="31"/>
  <c r="Z26" i="31" s="1"/>
  <c r="Z34" i="31" s="1"/>
  <c r="AA4" i="31"/>
  <c r="AB4" i="31"/>
  <c r="AB26" i="31" s="1"/>
  <c r="AC4" i="31"/>
  <c r="AC26" i="31" s="1"/>
  <c r="AC34" i="31" s="1"/>
  <c r="AD4" i="31"/>
  <c r="AD26" i="31" s="1"/>
  <c r="AD34" i="31" s="1"/>
  <c r="AE4" i="31"/>
  <c r="AF4" i="31"/>
  <c r="AF26" i="31" s="1"/>
  <c r="AG4" i="31"/>
  <c r="AG26" i="31" s="1"/>
  <c r="AG34" i="31" s="1"/>
  <c r="AH4" i="31"/>
  <c r="AH26" i="31" s="1"/>
  <c r="AH34" i="31" s="1"/>
  <c r="AI4" i="31"/>
  <c r="AJ4" i="31"/>
  <c r="AJ26" i="31" s="1"/>
  <c r="AK4" i="31"/>
  <c r="AK26" i="31" s="1"/>
  <c r="AK34" i="31" s="1"/>
  <c r="AL4" i="31"/>
  <c r="AL26" i="31" s="1"/>
  <c r="AL34" i="31" s="1"/>
  <c r="AM4" i="31"/>
  <c r="AM26" i="31" s="1"/>
  <c r="AM34" i="31" s="1"/>
  <c r="AN4" i="31"/>
  <c r="AN26" i="31" s="1"/>
  <c r="AO4" i="31"/>
  <c r="AO26" i="31" s="1"/>
  <c r="AO34" i="31" s="1"/>
  <c r="AP4" i="31"/>
  <c r="AP26" i="31" s="1"/>
  <c r="AP34" i="31" s="1"/>
  <c r="AQ4" i="31"/>
  <c r="AQ26" i="31" s="1"/>
  <c r="AQ34" i="31" s="1"/>
  <c r="AR4" i="31"/>
  <c r="AR26" i="31" s="1"/>
  <c r="AS4" i="31"/>
  <c r="AS26" i="31" s="1"/>
  <c r="AS34" i="31" s="1"/>
  <c r="AT4" i="31"/>
  <c r="AT26" i="31" s="1"/>
  <c r="AT34" i="31" s="1"/>
  <c r="AU4" i="31"/>
  <c r="AU26" i="31" s="1"/>
  <c r="AU34" i="31" s="1"/>
  <c r="AV4" i="31"/>
  <c r="AV26" i="31" s="1"/>
  <c r="AW4" i="31"/>
  <c r="AW26" i="31" s="1"/>
  <c r="AW34" i="31" s="1"/>
  <c r="AL42" i="31"/>
  <c r="AM42" i="31"/>
  <c r="AN42" i="31"/>
  <c r="AO42" i="31"/>
  <c r="AP42" i="31"/>
  <c r="AQ42" i="31"/>
  <c r="AR42" i="31"/>
  <c r="AS42" i="31"/>
  <c r="AT42" i="31"/>
  <c r="AU42" i="31"/>
  <c r="AV42" i="31"/>
  <c r="AW42" i="31"/>
  <c r="Z42" i="31"/>
  <c r="AB42" i="31"/>
  <c r="AF42" i="31"/>
  <c r="AJ42" i="31"/>
  <c r="O42" i="31"/>
  <c r="P42" i="31"/>
  <c r="S42" i="31"/>
  <c r="T42" i="31"/>
  <c r="W42" i="31"/>
  <c r="X42" i="31"/>
  <c r="B43" i="31"/>
  <c r="B45" i="31"/>
  <c r="B50" i="31"/>
  <c r="B34" i="31"/>
  <c r="B37" i="31"/>
  <c r="E7" i="30"/>
  <c r="E48" i="30" s="1"/>
  <c r="E12" i="30"/>
  <c r="I6" i="30"/>
  <c r="I20" i="30"/>
  <c r="G6" i="30"/>
  <c r="G20" i="30"/>
  <c r="C43" i="31"/>
  <c r="D43" i="31"/>
  <c r="K43" i="31"/>
  <c r="O43" i="31"/>
  <c r="P43" i="31"/>
  <c r="S43" i="31"/>
  <c r="T43" i="31"/>
  <c r="W43" i="31"/>
  <c r="X43" i="31"/>
  <c r="AA43" i="31"/>
  <c r="AB43" i="31"/>
  <c r="AE43" i="31"/>
  <c r="AF43" i="31"/>
  <c r="AI43" i="31"/>
  <c r="AJ43" i="31"/>
  <c r="AM43" i="31"/>
  <c r="AN43" i="31"/>
  <c r="AQ43" i="31"/>
  <c r="AR43" i="31"/>
  <c r="AU43" i="31"/>
  <c r="AV43" i="31"/>
  <c r="M6" i="30"/>
  <c r="K6" i="30"/>
  <c r="P34" i="31"/>
  <c r="Q34" i="31"/>
  <c r="T34" i="31"/>
  <c r="X34" i="31"/>
  <c r="AB34" i="31"/>
  <c r="AF34" i="31"/>
  <c r="AJ34" i="31"/>
  <c r="AN34" i="31"/>
  <c r="AR34" i="31"/>
  <c r="AV34" i="31"/>
  <c r="C34" i="31"/>
  <c r="D34" i="31"/>
  <c r="C37" i="31"/>
  <c r="D37" i="31"/>
  <c r="E37" i="31"/>
  <c r="F37" i="31"/>
  <c r="G37" i="31"/>
  <c r="C45" i="31"/>
  <c r="C50" i="31"/>
  <c r="C47" i="31"/>
  <c r="D45" i="31"/>
  <c r="D50" i="31"/>
  <c r="D47" i="31"/>
  <c r="E45" i="31"/>
  <c r="E50" i="31"/>
  <c r="E47" i="31"/>
  <c r="F45" i="31"/>
  <c r="F50" i="31"/>
  <c r="F47" i="31"/>
  <c r="G45" i="31"/>
  <c r="G50" i="31"/>
  <c r="G47" i="31"/>
  <c r="H45" i="31"/>
  <c r="H50" i="31"/>
  <c r="H47" i="31"/>
  <c r="I45" i="31"/>
  <c r="I50" i="31"/>
  <c r="I47" i="31"/>
  <c r="J45" i="31"/>
  <c r="J50" i="31"/>
  <c r="J47" i="31"/>
  <c r="K45" i="31"/>
  <c r="K50" i="31"/>
  <c r="K47" i="31"/>
  <c r="L45" i="31"/>
  <c r="L50" i="31"/>
  <c r="L47" i="31"/>
  <c r="M45" i="31"/>
  <c r="M50" i="31"/>
  <c r="M47" i="31"/>
  <c r="N45" i="31"/>
  <c r="N50" i="31"/>
  <c r="N47" i="31"/>
  <c r="O45" i="31"/>
  <c r="O50" i="31"/>
  <c r="O47" i="31"/>
  <c r="P45" i="31"/>
  <c r="P50" i="31"/>
  <c r="P47" i="31"/>
  <c r="Q45" i="31"/>
  <c r="Q50" i="31"/>
  <c r="Q47" i="31"/>
  <c r="R45" i="31"/>
  <c r="R50" i="31"/>
  <c r="R47" i="31"/>
  <c r="S45" i="31"/>
  <c r="S50" i="31"/>
  <c r="S47" i="31"/>
  <c r="T45" i="31"/>
  <c r="T50" i="31"/>
  <c r="T47" i="31"/>
  <c r="U45" i="31"/>
  <c r="U50" i="31"/>
  <c r="U47" i="31"/>
  <c r="V45" i="31"/>
  <c r="V50" i="31"/>
  <c r="V47" i="31"/>
  <c r="W45" i="31"/>
  <c r="W50" i="31"/>
  <c r="W47" i="31"/>
  <c r="X45" i="31"/>
  <c r="X50" i="31"/>
  <c r="X47" i="31"/>
  <c r="Y45" i="31"/>
  <c r="Y50" i="31"/>
  <c r="Y47" i="31"/>
  <c r="K20" i="30"/>
  <c r="Z45" i="31"/>
  <c r="Z50" i="31"/>
  <c r="Z47" i="31"/>
  <c r="AA45" i="31"/>
  <c r="AA47" i="31"/>
  <c r="AB45" i="31"/>
  <c r="AB47" i="31"/>
  <c r="AC45" i="31"/>
  <c r="AC47" i="31"/>
  <c r="AD45" i="31"/>
  <c r="AD50" i="31"/>
  <c r="AD47" i="31"/>
  <c r="AE45" i="31"/>
  <c r="AE47" i="31"/>
  <c r="AF45" i="31"/>
  <c r="AF47" i="31"/>
  <c r="AG45" i="31"/>
  <c r="AG47" i="31"/>
  <c r="AH45" i="31"/>
  <c r="AH50" i="31"/>
  <c r="AH47" i="31"/>
  <c r="AI45" i="31"/>
  <c r="AI47" i="31"/>
  <c r="AJ45" i="31"/>
  <c r="AJ47" i="31"/>
  <c r="AK45" i="31"/>
  <c r="AK47" i="31"/>
  <c r="M20" i="30"/>
  <c r="M40" i="30" s="1"/>
  <c r="AL45" i="31"/>
  <c r="AL47" i="31"/>
  <c r="AM45" i="31"/>
  <c r="AM47" i="31"/>
  <c r="AN45" i="31"/>
  <c r="AN47" i="31"/>
  <c r="AO45" i="31"/>
  <c r="AO47" i="31"/>
  <c r="AP45" i="31"/>
  <c r="AP47" i="31"/>
  <c r="AQ45" i="31"/>
  <c r="AQ47" i="31"/>
  <c r="AR45" i="31"/>
  <c r="AR47" i="31"/>
  <c r="AS45" i="31"/>
  <c r="AS47" i="31"/>
  <c r="AT45" i="31"/>
  <c r="AT47" i="31"/>
  <c r="AU45" i="31"/>
  <c r="AU47" i="31"/>
  <c r="AV45" i="31"/>
  <c r="AV47" i="31"/>
  <c r="AW45" i="31"/>
  <c r="AW47" i="31"/>
  <c r="B47" i="31"/>
  <c r="G41" i="48"/>
  <c r="H22" i="44"/>
  <c r="E37" i="30"/>
  <c r="E36" i="30"/>
  <c r="C29" i="48"/>
  <c r="C30" i="48" s="1"/>
  <c r="C7" i="48"/>
  <c r="M45" i="30"/>
  <c r="K45" i="30"/>
  <c r="I45" i="30"/>
  <c r="G45" i="30"/>
  <c r="E104" i="30"/>
  <c r="M106" i="30" s="1"/>
  <c r="C12" i="48"/>
  <c r="C13" i="48" s="1"/>
  <c r="I82" i="44"/>
  <c r="J82" i="44" s="1"/>
  <c r="K82" i="44" s="1"/>
  <c r="N82" i="44" s="1"/>
  <c r="M126" i="30"/>
  <c r="K129" i="30" s="1"/>
  <c r="M125" i="30"/>
  <c r="L128" i="30" s="1"/>
  <c r="K128" i="30"/>
  <c r="E77" i="30"/>
  <c r="E83" i="30"/>
  <c r="I40" i="30" s="1"/>
  <c r="E62" i="30"/>
  <c r="E63" i="30"/>
  <c r="E74" i="30" s="1"/>
  <c r="E68" i="30"/>
  <c r="E79" i="30" s="1"/>
  <c r="E67" i="30"/>
  <c r="E78" i="30" s="1"/>
  <c r="H19" i="44"/>
  <c r="E73" i="30"/>
  <c r="G40" i="30"/>
  <c r="E66" i="30"/>
  <c r="E111" i="30"/>
  <c r="E27" i="30"/>
  <c r="E32" i="30"/>
  <c r="E70" i="30"/>
  <c r="E108" i="30"/>
  <c r="E87" i="30"/>
  <c r="B45" i="39"/>
  <c r="E17" i="30"/>
  <c r="E59" i="30"/>
  <c r="E58" i="30"/>
  <c r="E88" i="30"/>
  <c r="K44" i="30"/>
  <c r="I44" i="30"/>
  <c r="G44" i="30"/>
  <c r="E46" i="30"/>
  <c r="G108" i="30"/>
  <c r="G111" i="30"/>
  <c r="I108" i="30"/>
  <c r="I111" i="30"/>
  <c r="K108" i="30"/>
  <c r="K111" i="30"/>
  <c r="M108" i="30"/>
  <c r="M111" i="30"/>
  <c r="I26" i="30" l="1"/>
  <c r="M26" i="30"/>
  <c r="E95" i="30"/>
  <c r="F10" i="30"/>
  <c r="F5" i="30"/>
  <c r="F9" i="30"/>
  <c r="F43" i="30"/>
  <c r="E94" i="30"/>
  <c r="E91" i="30"/>
  <c r="F30" i="30"/>
  <c r="F44" i="30"/>
  <c r="K106" i="30"/>
  <c r="E93" i="30"/>
  <c r="F7" i="30"/>
  <c r="E81" i="30"/>
  <c r="AT43" i="31"/>
  <c r="I43" i="31"/>
  <c r="G106" i="30"/>
  <c r="E109" i="30"/>
  <c r="I106" i="30"/>
  <c r="V43" i="31"/>
  <c r="E43" i="31"/>
  <c r="R42" i="31"/>
  <c r="M42" i="31"/>
  <c r="F46" i="30"/>
  <c r="F32" i="30"/>
  <c r="M43" i="31"/>
  <c r="I42" i="31"/>
  <c r="L129" i="30"/>
  <c r="H42" i="31"/>
  <c r="E49" i="30"/>
  <c r="E51" i="30" s="1"/>
  <c r="F45" i="30"/>
  <c r="F40" i="30"/>
  <c r="F29" i="30"/>
  <c r="F4" i="30"/>
  <c r="E112" i="30"/>
  <c r="E115" i="30" s="1"/>
  <c r="K26" i="30"/>
  <c r="K40" i="30"/>
  <c r="AP43" i="31"/>
  <c r="R43" i="31"/>
  <c r="E92" i="30"/>
  <c r="N42" i="31"/>
  <c r="K42" i="31"/>
  <c r="G26" i="30"/>
  <c r="Z43" i="31"/>
  <c r="V42" i="31"/>
  <c r="AH42" i="31"/>
  <c r="F6" i="30"/>
  <c r="F12" i="30"/>
  <c r="F20" i="30"/>
  <c r="AL43" i="31"/>
  <c r="N43" i="31"/>
  <c r="G43" i="31"/>
  <c r="G42" i="31"/>
  <c r="AJ50" i="31"/>
  <c r="AF50" i="31"/>
  <c r="AB50" i="31"/>
  <c r="AK50" i="31"/>
  <c r="AG50" i="31"/>
  <c r="AC50" i="31"/>
  <c r="AI50" i="31"/>
  <c r="AE50" i="31"/>
  <c r="AD43" i="31"/>
  <c r="AH43" i="31"/>
  <c r="AD42" i="31"/>
  <c r="H43" i="31"/>
  <c r="L42" i="31"/>
  <c r="L43" i="31"/>
  <c r="B5" i="31"/>
  <c r="C5" i="31" s="1"/>
  <c r="C9" i="31" s="1"/>
  <c r="D42" i="31"/>
  <c r="J43" i="31"/>
  <c r="F43" i="31"/>
  <c r="AC42" i="31"/>
  <c r="AW43" i="31"/>
  <c r="AS43" i="31"/>
  <c r="AO43" i="31"/>
  <c r="AK43" i="31"/>
  <c r="AG43" i="31"/>
  <c r="AC43" i="31"/>
  <c r="Y43" i="31"/>
  <c r="U43" i="31"/>
  <c r="Q43" i="31"/>
  <c r="AG42" i="31"/>
  <c r="J42" i="31"/>
  <c r="F42" i="31"/>
  <c r="Y42" i="31"/>
  <c r="U42" i="31"/>
  <c r="Q42" i="31"/>
  <c r="AK42" i="31"/>
  <c r="C66" i="31"/>
  <c r="B66" i="31"/>
  <c r="E66" i="31"/>
  <c r="C14" i="31"/>
  <c r="C13" i="31"/>
  <c r="E58" i="31"/>
  <c r="AI26" i="31"/>
  <c r="AI42" i="31"/>
  <c r="AE26" i="31"/>
  <c r="AE42" i="31"/>
  <c r="AA26" i="31"/>
  <c r="AA42" i="31"/>
  <c r="E60" i="31"/>
  <c r="C60" i="31"/>
  <c r="B9" i="31"/>
  <c r="B60" i="31"/>
  <c r="E101" i="30" l="1"/>
  <c r="E102" i="30" s="1"/>
  <c r="F102" i="30" s="1"/>
  <c r="B10" i="31"/>
  <c r="B20" i="31" s="1"/>
  <c r="B31" i="31" s="1"/>
  <c r="B12" i="31"/>
  <c r="B22" i="31" s="1"/>
  <c r="B28" i="31" s="1"/>
  <c r="C11" i="31"/>
  <c r="C21" i="31" s="1"/>
  <c r="C32" i="31" s="1"/>
  <c r="C40" i="31" s="1"/>
  <c r="C12" i="31"/>
  <c r="C22" i="31" s="1"/>
  <c r="C28" i="31" s="1"/>
  <c r="C36" i="31" s="1"/>
  <c r="B11" i="31"/>
  <c r="B21" i="31" s="1"/>
  <c r="B32" i="31" s="1"/>
  <c r="B40" i="31" s="1"/>
  <c r="B13" i="31"/>
  <c r="H29" i="31" s="1"/>
  <c r="C10" i="31"/>
  <c r="C20" i="31" s="1"/>
  <c r="C31" i="31" s="1"/>
  <c r="C39" i="31" s="1"/>
  <c r="B17" i="31"/>
  <c r="B7" i="31"/>
  <c r="E98" i="30"/>
  <c r="E99" i="30" s="1"/>
  <c r="F99" i="30" s="1"/>
  <c r="B14" i="31"/>
  <c r="B30" i="31" s="1"/>
  <c r="D60" i="31"/>
  <c r="D5" i="31"/>
  <c r="D72" i="31"/>
  <c r="K31" i="30" s="1"/>
  <c r="AN50" i="31"/>
  <c r="AR50" i="31"/>
  <c r="AV50" i="31"/>
  <c r="M44" i="30"/>
  <c r="AQ50" i="31"/>
  <c r="AL50" i="31"/>
  <c r="AP50" i="31"/>
  <c r="AT50" i="31"/>
  <c r="AO50" i="31"/>
  <c r="AS50" i="31"/>
  <c r="AW50" i="31"/>
  <c r="AM50" i="31"/>
  <c r="AU50" i="31"/>
  <c r="C72" i="31"/>
  <c r="I31" i="30" s="1"/>
  <c r="C17" i="31"/>
  <c r="C7" i="31"/>
  <c r="B58" i="31"/>
  <c r="G11" i="30" s="1"/>
  <c r="C58" i="31"/>
  <c r="I11" i="30" s="1"/>
  <c r="E72" i="31"/>
  <c r="M31" i="30" s="1"/>
  <c r="B72" i="31"/>
  <c r="G31" i="30" s="1"/>
  <c r="AX42" i="31"/>
  <c r="AX43" i="31"/>
  <c r="N49" i="31"/>
  <c r="N48" i="31"/>
  <c r="B27" i="31"/>
  <c r="B19" i="31"/>
  <c r="AE34" i="31"/>
  <c r="D12" i="31"/>
  <c r="D22" i="31" s="1"/>
  <c r="D28" i="31" s="1"/>
  <c r="D36" i="31" s="1"/>
  <c r="D9" i="31"/>
  <c r="D14" i="31"/>
  <c r="D10" i="31"/>
  <c r="D20" i="31" s="1"/>
  <c r="D31" i="31" s="1"/>
  <c r="D39" i="31" s="1"/>
  <c r="D11" i="31"/>
  <c r="D21" i="31" s="1"/>
  <c r="D32" i="31" s="1"/>
  <c r="D40" i="31" s="1"/>
  <c r="E5" i="31"/>
  <c r="D13" i="31"/>
  <c r="D17" i="31"/>
  <c r="D7" i="31"/>
  <c r="C27" i="31"/>
  <c r="C19" i="31"/>
  <c r="B39" i="31"/>
  <c r="B36" i="31"/>
  <c r="D58" i="31"/>
  <c r="I29" i="31"/>
  <c r="I37" i="31" s="1"/>
  <c r="C23" i="31"/>
  <c r="C30" i="31"/>
  <c r="C38" i="31" s="1"/>
  <c r="C24" i="31"/>
  <c r="M11" i="30"/>
  <c r="B23" i="31"/>
  <c r="AA34" i="31"/>
  <c r="AX26" i="31"/>
  <c r="AI34" i="31"/>
  <c r="B15" i="31" l="1"/>
  <c r="C15" i="31"/>
  <c r="B24" i="31"/>
  <c r="O48" i="31"/>
  <c r="O49" i="31"/>
  <c r="J29" i="31"/>
  <c r="J37" i="31" s="1"/>
  <c r="D23" i="31"/>
  <c r="D30" i="31"/>
  <c r="D38" i="31" s="1"/>
  <c r="D15" i="31"/>
  <c r="D24" i="31"/>
  <c r="H37" i="31"/>
  <c r="C35" i="31"/>
  <c r="E12" i="31"/>
  <c r="E22" i="31" s="1"/>
  <c r="E28" i="31" s="1"/>
  <c r="E14" i="31"/>
  <c r="E10" i="31"/>
  <c r="E20" i="31" s="1"/>
  <c r="E31" i="31" s="1"/>
  <c r="E11" i="31"/>
  <c r="E21" i="31" s="1"/>
  <c r="E32" i="31" s="1"/>
  <c r="E13" i="31"/>
  <c r="E9" i="31"/>
  <c r="F5" i="31"/>
  <c r="E17" i="31"/>
  <c r="E7" i="31"/>
  <c r="D27" i="31"/>
  <c r="D19" i="31"/>
  <c r="AX34" i="31"/>
  <c r="AY34" i="31" s="1"/>
  <c r="D66" i="31"/>
  <c r="B38" i="31"/>
  <c r="K11" i="30"/>
  <c r="P49" i="31"/>
  <c r="P48" i="31"/>
  <c r="B35" i="31"/>
  <c r="D35" i="31" l="1"/>
  <c r="E30" i="31"/>
  <c r="E24" i="31"/>
  <c r="E15" i="31"/>
  <c r="K29" i="31"/>
  <c r="E23" i="31"/>
  <c r="E36" i="31"/>
  <c r="Q48" i="31"/>
  <c r="Q49" i="31"/>
  <c r="E40" i="31"/>
  <c r="E27" i="31"/>
  <c r="E19" i="31"/>
  <c r="F12" i="31"/>
  <c r="F22" i="31" s="1"/>
  <c r="F28" i="31" s="1"/>
  <c r="F9" i="31"/>
  <c r="F14" i="31"/>
  <c r="F13" i="31"/>
  <c r="G5" i="31"/>
  <c r="F10" i="31"/>
  <c r="F20" i="31" s="1"/>
  <c r="F31" i="31" s="1"/>
  <c r="F39" i="31" s="1"/>
  <c r="F17" i="31"/>
  <c r="F11" i="31"/>
  <c r="F21" i="31" s="1"/>
  <c r="F32" i="31" s="1"/>
  <c r="F40" i="31" s="1"/>
  <c r="F7" i="31"/>
  <c r="E39" i="31"/>
  <c r="F27" i="31" l="1"/>
  <c r="F19" i="31"/>
  <c r="E38" i="31"/>
  <c r="F30" i="31"/>
  <c r="F38" i="31" s="1"/>
  <c r="F15" i="31"/>
  <c r="F24" i="31"/>
  <c r="G14" i="31"/>
  <c r="G9" i="31"/>
  <c r="G10" i="31"/>
  <c r="G20" i="31" s="1"/>
  <c r="G31" i="31" s="1"/>
  <c r="G11" i="31"/>
  <c r="G21" i="31" s="1"/>
  <c r="G32" i="31" s="1"/>
  <c r="G40" i="31" s="1"/>
  <c r="G13" i="31"/>
  <c r="H5" i="31"/>
  <c r="G12" i="31"/>
  <c r="G22" i="31" s="1"/>
  <c r="G28" i="31" s="1"/>
  <c r="G36" i="31" s="1"/>
  <c r="G17" i="31"/>
  <c r="G7" i="31"/>
  <c r="F36" i="31"/>
  <c r="K37" i="31"/>
  <c r="R49" i="31"/>
  <c r="R48" i="31"/>
  <c r="L29" i="31"/>
  <c r="L37" i="31" s="1"/>
  <c r="F23" i="31"/>
  <c r="E35" i="31"/>
  <c r="G39" i="31" l="1"/>
  <c r="H12" i="31"/>
  <c r="H22" i="31" s="1"/>
  <c r="H28" i="31" s="1"/>
  <c r="H9" i="31"/>
  <c r="H14" i="31"/>
  <c r="H10" i="31"/>
  <c r="H20" i="31" s="1"/>
  <c r="H31" i="31" s="1"/>
  <c r="H39" i="31" s="1"/>
  <c r="H11" i="31"/>
  <c r="H21" i="31" s="1"/>
  <c r="H32" i="31" s="1"/>
  <c r="H40" i="31" s="1"/>
  <c r="I5" i="31"/>
  <c r="H13" i="31"/>
  <c r="H17" i="31"/>
  <c r="H7" i="31"/>
  <c r="G27" i="31"/>
  <c r="G19" i="31"/>
  <c r="S48" i="31"/>
  <c r="S49" i="31"/>
  <c r="M29" i="31"/>
  <c r="M37" i="31" s="1"/>
  <c r="G23" i="31"/>
  <c r="G30" i="31"/>
  <c r="G24" i="31"/>
  <c r="G15" i="31"/>
  <c r="F35" i="31"/>
  <c r="B63" i="31" l="1"/>
  <c r="G9" i="30" s="1"/>
  <c r="B69" i="31"/>
  <c r="G29" i="30" s="1"/>
  <c r="N29" i="31"/>
  <c r="H23" i="31"/>
  <c r="H30" i="31"/>
  <c r="H38" i="31" s="1"/>
  <c r="H15" i="31"/>
  <c r="H24" i="31"/>
  <c r="G38" i="31"/>
  <c r="G35" i="31"/>
  <c r="I12" i="31"/>
  <c r="I22" i="31" s="1"/>
  <c r="I28" i="31" s="1"/>
  <c r="I36" i="31" s="1"/>
  <c r="I14" i="31"/>
  <c r="I10" i="31"/>
  <c r="I20" i="31" s="1"/>
  <c r="I31" i="31" s="1"/>
  <c r="I39" i="31" s="1"/>
  <c r="I11" i="31"/>
  <c r="I21" i="31" s="1"/>
  <c r="I32" i="31" s="1"/>
  <c r="I40" i="31" s="1"/>
  <c r="I9" i="31"/>
  <c r="J5" i="31"/>
  <c r="I17" i="31"/>
  <c r="I13" i="31"/>
  <c r="I7" i="31"/>
  <c r="H27" i="31"/>
  <c r="H19" i="31"/>
  <c r="T48" i="31"/>
  <c r="T49" i="31"/>
  <c r="H36" i="31"/>
  <c r="O29" i="31" l="1"/>
  <c r="I23" i="31"/>
  <c r="I64" i="44"/>
  <c r="H35" i="31"/>
  <c r="J12" i="31"/>
  <c r="J22" i="31" s="1"/>
  <c r="J28" i="31" s="1"/>
  <c r="J9" i="31"/>
  <c r="J14" i="31"/>
  <c r="J10" i="31"/>
  <c r="J20" i="31" s="1"/>
  <c r="J31" i="31" s="1"/>
  <c r="K5" i="31"/>
  <c r="J11" i="31"/>
  <c r="J21" i="31" s="1"/>
  <c r="J32" i="31" s="1"/>
  <c r="J40" i="31" s="1"/>
  <c r="J17" i="31"/>
  <c r="J13" i="31"/>
  <c r="J7" i="31"/>
  <c r="I30" i="31"/>
  <c r="I38" i="31" s="1"/>
  <c r="I24" i="31"/>
  <c r="I15" i="31"/>
  <c r="N37" i="31"/>
  <c r="U48" i="31"/>
  <c r="U49" i="31"/>
  <c r="I27" i="31"/>
  <c r="I19" i="31"/>
  <c r="G34" i="30"/>
  <c r="C36" i="54" s="1"/>
  <c r="J36" i="31" l="1"/>
  <c r="O37" i="31"/>
  <c r="P29" i="31"/>
  <c r="P37" i="31" s="1"/>
  <c r="J23" i="31"/>
  <c r="J39" i="31"/>
  <c r="K14" i="31"/>
  <c r="K12" i="31"/>
  <c r="K22" i="31" s="1"/>
  <c r="K28" i="31" s="1"/>
  <c r="K36" i="31" s="1"/>
  <c r="K9" i="31"/>
  <c r="K10" i="31"/>
  <c r="K20" i="31" s="1"/>
  <c r="K31" i="31" s="1"/>
  <c r="K39" i="31" s="1"/>
  <c r="K11" i="31"/>
  <c r="K21" i="31" s="1"/>
  <c r="K32" i="31" s="1"/>
  <c r="K40" i="31" s="1"/>
  <c r="L5" i="31"/>
  <c r="K13" i="31"/>
  <c r="K17" i="31"/>
  <c r="K7" i="31"/>
  <c r="I35" i="31"/>
  <c r="V49" i="31"/>
  <c r="V48" i="31"/>
  <c r="J30" i="31"/>
  <c r="J24" i="31"/>
  <c r="J15" i="31"/>
  <c r="I70" i="44"/>
  <c r="J27" i="31"/>
  <c r="J19" i="31"/>
  <c r="J35" i="31" l="1"/>
  <c r="K30" i="31"/>
  <c r="K38" i="31" s="1"/>
  <c r="K24" i="31"/>
  <c r="K15" i="31"/>
  <c r="J38" i="31"/>
  <c r="L12" i="31"/>
  <c r="L22" i="31" s="1"/>
  <c r="L28" i="31" s="1"/>
  <c r="L36" i="31" s="1"/>
  <c r="L9" i="31"/>
  <c r="L14" i="31"/>
  <c r="L10" i="31"/>
  <c r="L20" i="31" s="1"/>
  <c r="L31" i="31" s="1"/>
  <c r="L39" i="31" s="1"/>
  <c r="L11" i="31"/>
  <c r="L21" i="31" s="1"/>
  <c r="L32" i="31" s="1"/>
  <c r="L40" i="31" s="1"/>
  <c r="M5" i="31"/>
  <c r="L13" i="31"/>
  <c r="L17" i="31"/>
  <c r="L7" i="31"/>
  <c r="I77" i="44"/>
  <c r="W48" i="31"/>
  <c r="W49" i="31"/>
  <c r="Q29" i="31"/>
  <c r="K23" i="31"/>
  <c r="K27" i="31"/>
  <c r="K19" i="31"/>
  <c r="K35" i="31" l="1"/>
  <c r="X48" i="31"/>
  <c r="X49" i="31"/>
  <c r="R29" i="31"/>
  <c r="R37" i="31" s="1"/>
  <c r="L23" i="31"/>
  <c r="L30" i="31"/>
  <c r="L38" i="31" s="1"/>
  <c r="L15" i="31"/>
  <c r="L24" i="31"/>
  <c r="Q37" i="31"/>
  <c r="M12" i="31"/>
  <c r="M22" i="31" s="1"/>
  <c r="M14" i="31"/>
  <c r="M10" i="31"/>
  <c r="M20" i="31" s="1"/>
  <c r="M11" i="31"/>
  <c r="M21" i="31" s="1"/>
  <c r="N5" i="31"/>
  <c r="M9" i="31"/>
  <c r="M17" i="31"/>
  <c r="M13" i="31"/>
  <c r="M7" i="31"/>
  <c r="L27" i="31"/>
  <c r="L19" i="31"/>
  <c r="S29" i="31" l="1"/>
  <c r="M23" i="31"/>
  <c r="M32" i="31"/>
  <c r="C40" i="52"/>
  <c r="N12" i="31"/>
  <c r="N22" i="31" s="1"/>
  <c r="N28" i="31" s="1"/>
  <c r="N9" i="31"/>
  <c r="O5" i="31"/>
  <c r="N14" i="31"/>
  <c r="N10" i="31"/>
  <c r="N20" i="31" s="1"/>
  <c r="N31" i="31" s="1"/>
  <c r="N39" i="31" s="1"/>
  <c r="N17" i="31"/>
  <c r="N13" i="31"/>
  <c r="N11" i="31"/>
  <c r="N21" i="31" s="1"/>
  <c r="N32" i="31" s="1"/>
  <c r="N40" i="31" s="1"/>
  <c r="N7" i="31"/>
  <c r="Y48" i="31"/>
  <c r="Y49" i="31"/>
  <c r="M28" i="31"/>
  <c r="C41" i="52"/>
  <c r="M31" i="31"/>
  <c r="M39" i="31" s="1"/>
  <c r="C39" i="52"/>
  <c r="L35" i="31"/>
  <c r="M27" i="31"/>
  <c r="M19" i="31"/>
  <c r="C38" i="52" s="1"/>
  <c r="M30" i="31"/>
  <c r="M38" i="31" s="1"/>
  <c r="M24" i="31"/>
  <c r="C42" i="52" s="1"/>
  <c r="M15" i="31"/>
  <c r="N30" i="31" l="1"/>
  <c r="N15" i="31"/>
  <c r="N24" i="31"/>
  <c r="M35" i="31"/>
  <c r="B67" i="31" s="1"/>
  <c r="G25" i="30" s="1"/>
  <c r="B61" i="31"/>
  <c r="T29" i="31"/>
  <c r="T37" i="31" s="1"/>
  <c r="N23" i="31"/>
  <c r="O9" i="31"/>
  <c r="O12" i="31"/>
  <c r="O22" i="31" s="1"/>
  <c r="O28" i="31" s="1"/>
  <c r="O36" i="31" s="1"/>
  <c r="P5" i="31"/>
  <c r="O10" i="31"/>
  <c r="O20" i="31" s="1"/>
  <c r="O31" i="31" s="1"/>
  <c r="O39" i="31" s="1"/>
  <c r="O14" i="31"/>
  <c r="O13" i="31"/>
  <c r="O11" i="31"/>
  <c r="O21" i="31" s="1"/>
  <c r="O32" i="31" s="1"/>
  <c r="O40" i="31" s="1"/>
  <c r="O17" i="31"/>
  <c r="O7" i="31"/>
  <c r="M40" i="31"/>
  <c r="B70" i="31" s="1"/>
  <c r="G24" i="30" s="1"/>
  <c r="B64" i="31"/>
  <c r="G4" i="30" s="1"/>
  <c r="Z49" i="31"/>
  <c r="Z48" i="31"/>
  <c r="N27" i="31"/>
  <c r="N19" i="31"/>
  <c r="M36" i="31"/>
  <c r="B68" i="31" s="1"/>
  <c r="G30" i="30" s="1"/>
  <c r="B62" i="31"/>
  <c r="G10" i="30" s="1"/>
  <c r="N36" i="31"/>
  <c r="S37" i="31"/>
  <c r="G12" i="30" l="1"/>
  <c r="P12" i="31"/>
  <c r="P22" i="31" s="1"/>
  <c r="P28" i="31" s="1"/>
  <c r="P9" i="31"/>
  <c r="Q5" i="31"/>
  <c r="P14" i="31"/>
  <c r="P11" i="31"/>
  <c r="P21" i="31" s="1"/>
  <c r="P32" i="31" s="1"/>
  <c r="P40" i="31" s="1"/>
  <c r="P13" i="31"/>
  <c r="P10" i="31"/>
  <c r="P20" i="31" s="1"/>
  <c r="P31" i="31" s="1"/>
  <c r="P39" i="31" s="1"/>
  <c r="P17" i="31"/>
  <c r="P7" i="31"/>
  <c r="G27" i="30"/>
  <c r="AA49" i="31"/>
  <c r="AA48" i="31"/>
  <c r="N35" i="31"/>
  <c r="U29" i="31"/>
  <c r="O23" i="31"/>
  <c r="G5" i="30"/>
  <c r="G7" i="30" s="1"/>
  <c r="B75" i="31"/>
  <c r="G35" i="30"/>
  <c r="C37" i="54" s="1"/>
  <c r="G32" i="30"/>
  <c r="O30" i="31"/>
  <c r="O38" i="31" s="1"/>
  <c r="O15" i="31"/>
  <c r="O24" i="31"/>
  <c r="O27" i="31"/>
  <c r="O19" i="31"/>
  <c r="N38" i="31"/>
  <c r="G48" i="30" l="1"/>
  <c r="H7" i="30" s="1"/>
  <c r="G109" i="30"/>
  <c r="Q9" i="31"/>
  <c r="Q12" i="31"/>
  <c r="Q22" i="31" s="1"/>
  <c r="Q28" i="31" s="1"/>
  <c r="Q36" i="31" s="1"/>
  <c r="R5" i="31"/>
  <c r="Q11" i="31"/>
  <c r="Q21" i="31" s="1"/>
  <c r="Q32" i="31" s="1"/>
  <c r="Q40" i="31" s="1"/>
  <c r="Q14" i="31"/>
  <c r="Q13" i="31"/>
  <c r="Q17" i="31"/>
  <c r="Q10" i="31"/>
  <c r="Q20" i="31" s="1"/>
  <c r="Q31" i="31" s="1"/>
  <c r="Q39" i="31" s="1"/>
  <c r="Q7" i="31"/>
  <c r="O35" i="31"/>
  <c r="U37" i="31"/>
  <c r="G112" i="30"/>
  <c r="V29" i="31"/>
  <c r="V37" i="31" s="1"/>
  <c r="P23" i="31"/>
  <c r="P27" i="31"/>
  <c r="P19" i="31"/>
  <c r="P36" i="31"/>
  <c r="G87" i="30"/>
  <c r="G88" i="30"/>
  <c r="AB49" i="31"/>
  <c r="AB48" i="31"/>
  <c r="P30" i="31"/>
  <c r="P38" i="31" s="1"/>
  <c r="P24" i="31"/>
  <c r="P15" i="31"/>
  <c r="I63" i="44"/>
  <c r="H5" i="30" l="1"/>
  <c r="H12" i="30"/>
  <c r="H27" i="30"/>
  <c r="H32" i="30"/>
  <c r="Q30" i="31"/>
  <c r="Q38" i="31" s="1"/>
  <c r="Q24" i="31"/>
  <c r="Q15" i="31"/>
  <c r="Q27" i="31"/>
  <c r="Q19" i="31"/>
  <c r="I69" i="44"/>
  <c r="I65" i="44"/>
  <c r="G115" i="30"/>
  <c r="P35" i="31"/>
  <c r="AC49" i="31"/>
  <c r="AC48" i="31"/>
  <c r="R12" i="31"/>
  <c r="R22" i="31" s="1"/>
  <c r="R28" i="31" s="1"/>
  <c r="R9" i="31"/>
  <c r="S5" i="31"/>
  <c r="R14" i="31"/>
  <c r="R10" i="31"/>
  <c r="R20" i="31" s="1"/>
  <c r="R31" i="31" s="1"/>
  <c r="R39" i="31" s="1"/>
  <c r="R17" i="31"/>
  <c r="R11" i="31"/>
  <c r="R21" i="31" s="1"/>
  <c r="R32" i="31" s="1"/>
  <c r="R40" i="31" s="1"/>
  <c r="R7" i="31"/>
  <c r="R13" i="31"/>
  <c r="W29" i="31"/>
  <c r="W37" i="31" s="1"/>
  <c r="Q23" i="31"/>
  <c r="P29" i="44"/>
  <c r="G12" i="44" s="1"/>
  <c r="G55" i="30"/>
  <c r="H40" i="30"/>
  <c r="H45" i="30"/>
  <c r="K122" i="30"/>
  <c r="L122" i="30"/>
  <c r="H26" i="30"/>
  <c r="H31" i="30"/>
  <c r="H20" i="30"/>
  <c r="H11" i="30"/>
  <c r="G21" i="48"/>
  <c r="H6" i="30"/>
  <c r="H44" i="30"/>
  <c r="H9" i="30"/>
  <c r="H29" i="30"/>
  <c r="H10" i="30"/>
  <c r="H30" i="30"/>
  <c r="H24" i="30"/>
  <c r="H25" i="30"/>
  <c r="H4" i="30"/>
  <c r="R24" i="31" l="1"/>
  <c r="R30" i="31"/>
  <c r="R15" i="31"/>
  <c r="S9" i="31"/>
  <c r="T5" i="31"/>
  <c r="S12" i="31"/>
  <c r="S22" i="31" s="1"/>
  <c r="S28" i="31" s="1"/>
  <c r="S36" i="31" s="1"/>
  <c r="S10" i="31"/>
  <c r="S20" i="31" s="1"/>
  <c r="S31" i="31" s="1"/>
  <c r="S39" i="31" s="1"/>
  <c r="S14" i="31"/>
  <c r="S13" i="31"/>
  <c r="S11" i="31"/>
  <c r="S21" i="31" s="1"/>
  <c r="S32" i="31" s="1"/>
  <c r="S40" i="31" s="1"/>
  <c r="S17" i="31"/>
  <c r="S7" i="31"/>
  <c r="I71" i="44"/>
  <c r="I76" i="44"/>
  <c r="I78" i="44" s="1"/>
  <c r="AD49" i="31"/>
  <c r="AD48" i="31"/>
  <c r="R27" i="31"/>
  <c r="R19" i="31"/>
  <c r="Q35" i="31"/>
  <c r="G43" i="30"/>
  <c r="F46" i="31"/>
  <c r="F53" i="31" s="1"/>
  <c r="J46" i="31"/>
  <c r="J53" i="31" s="1"/>
  <c r="B46" i="31"/>
  <c r="B53" i="31" s="1"/>
  <c r="C46" i="31"/>
  <c r="C53" i="31" s="1"/>
  <c r="G46" i="31"/>
  <c r="G53" i="31" s="1"/>
  <c r="K46" i="31"/>
  <c r="K53" i="31" s="1"/>
  <c r="D46" i="31"/>
  <c r="D53" i="31" s="1"/>
  <c r="H46" i="31"/>
  <c r="H53" i="31" s="1"/>
  <c r="L46" i="31"/>
  <c r="L53" i="31" s="1"/>
  <c r="I46" i="31"/>
  <c r="I53" i="31" s="1"/>
  <c r="C38" i="54"/>
  <c r="M46" i="31"/>
  <c r="M53" i="31" s="1"/>
  <c r="E46" i="31"/>
  <c r="E53" i="31" s="1"/>
  <c r="X29" i="31"/>
  <c r="X37" i="31" s="1"/>
  <c r="R23" i="31"/>
  <c r="R36" i="31"/>
  <c r="R35" i="31" l="1"/>
  <c r="AE49" i="31"/>
  <c r="AE48" i="31"/>
  <c r="R38" i="31"/>
  <c r="H43" i="30"/>
  <c r="G46" i="30"/>
  <c r="Y29" i="31"/>
  <c r="S23" i="31"/>
  <c r="T12" i="31"/>
  <c r="T22" i="31" s="1"/>
  <c r="T28" i="31" s="1"/>
  <c r="T9" i="31"/>
  <c r="U5" i="31"/>
  <c r="T13" i="31"/>
  <c r="T14" i="31"/>
  <c r="T10" i="31"/>
  <c r="T20" i="31" s="1"/>
  <c r="T31" i="31" s="1"/>
  <c r="T39" i="31" s="1"/>
  <c r="T11" i="31"/>
  <c r="T21" i="31" s="1"/>
  <c r="T32" i="31" s="1"/>
  <c r="T40" i="31" s="1"/>
  <c r="T17" i="31"/>
  <c r="T7" i="31"/>
  <c r="B54" i="31"/>
  <c r="C54" i="31" s="1"/>
  <c r="S30" i="31"/>
  <c r="S38" i="31" s="1"/>
  <c r="S15" i="31"/>
  <c r="S24" i="31"/>
  <c r="S27" i="31"/>
  <c r="S19" i="31"/>
  <c r="D45" i="39" l="1"/>
  <c r="D54" i="31"/>
  <c r="Z29" i="31"/>
  <c r="T23" i="31"/>
  <c r="U9" i="31"/>
  <c r="U12" i="31"/>
  <c r="U22" i="31" s="1"/>
  <c r="U28" i="31" s="1"/>
  <c r="U36" i="31" s="1"/>
  <c r="V5" i="31"/>
  <c r="U13" i="31"/>
  <c r="U11" i="31"/>
  <c r="U21" i="31" s="1"/>
  <c r="U32" i="31" s="1"/>
  <c r="U40" i="31" s="1"/>
  <c r="U10" i="31"/>
  <c r="U20" i="31" s="1"/>
  <c r="U31" i="31" s="1"/>
  <c r="U39" i="31" s="1"/>
  <c r="U14" i="31"/>
  <c r="U17" i="31"/>
  <c r="U7" i="31"/>
  <c r="Y37" i="31"/>
  <c r="C69" i="31" s="1"/>
  <c r="I29" i="30" s="1"/>
  <c r="C63" i="31"/>
  <c r="I9" i="30" s="1"/>
  <c r="T27" i="31"/>
  <c r="T19" i="31"/>
  <c r="AF49" i="31"/>
  <c r="AF48" i="31"/>
  <c r="S35" i="31"/>
  <c r="C45" i="39"/>
  <c r="T30" i="31"/>
  <c r="T38" i="31" s="1"/>
  <c r="T15" i="31"/>
  <c r="T24" i="31"/>
  <c r="T36" i="31"/>
  <c r="H46" i="30"/>
  <c r="G49" i="30"/>
  <c r="G51" i="30" s="1"/>
  <c r="AG49" i="31" l="1"/>
  <c r="AG48" i="31"/>
  <c r="AA29" i="31"/>
  <c r="AA37" i="31" s="1"/>
  <c r="U23" i="31"/>
  <c r="J64" i="44"/>
  <c r="U30" i="31"/>
  <c r="U38" i="31" s="1"/>
  <c r="U15" i="31"/>
  <c r="U24" i="31"/>
  <c r="V12" i="31"/>
  <c r="V22" i="31" s="1"/>
  <c r="V28" i="31" s="1"/>
  <c r="V9" i="31"/>
  <c r="W5" i="31"/>
  <c r="V13" i="31"/>
  <c r="V14" i="31"/>
  <c r="V10" i="31"/>
  <c r="V20" i="31" s="1"/>
  <c r="V31" i="31" s="1"/>
  <c r="V39" i="31" s="1"/>
  <c r="V17" i="31"/>
  <c r="V11" i="31"/>
  <c r="V21" i="31" s="1"/>
  <c r="V32" i="31" s="1"/>
  <c r="V40" i="31" s="1"/>
  <c r="V7" i="31"/>
  <c r="Z37" i="31"/>
  <c r="P30" i="44"/>
  <c r="G22" i="48"/>
  <c r="G53" i="30"/>
  <c r="I34" i="30"/>
  <c r="D36" i="54" s="1"/>
  <c r="E45" i="39"/>
  <c r="E54" i="31"/>
  <c r="T35" i="31"/>
  <c r="U27" i="31"/>
  <c r="U19" i="31"/>
  <c r="V27" i="31" l="1"/>
  <c r="V19" i="31"/>
  <c r="V30" i="31"/>
  <c r="V38" i="31" s="1"/>
  <c r="V24" i="31"/>
  <c r="V15" i="31"/>
  <c r="V36" i="31"/>
  <c r="J70" i="44"/>
  <c r="AB29" i="31"/>
  <c r="V23" i="31"/>
  <c r="U35" i="31"/>
  <c r="F45" i="39"/>
  <c r="F54" i="31"/>
  <c r="AH49" i="31"/>
  <c r="AH48" i="31"/>
  <c r="W9" i="31"/>
  <c r="X5" i="31"/>
  <c r="W12" i="31"/>
  <c r="W22" i="31" s="1"/>
  <c r="W28" i="31" s="1"/>
  <c r="W36" i="31" s="1"/>
  <c r="W10" i="31"/>
  <c r="W20" i="31" s="1"/>
  <c r="W31" i="31" s="1"/>
  <c r="W39" i="31" s="1"/>
  <c r="W14" i="31"/>
  <c r="W13" i="31"/>
  <c r="W11" i="31"/>
  <c r="W21" i="31" s="1"/>
  <c r="W32" i="31" s="1"/>
  <c r="W40" i="31" s="1"/>
  <c r="W17" i="31"/>
  <c r="W7" i="31"/>
  <c r="W30" i="31" l="1"/>
  <c r="W38" i="31" s="1"/>
  <c r="W15" i="31"/>
  <c r="W24" i="31"/>
  <c r="J77" i="44"/>
  <c r="AI49" i="31"/>
  <c r="AI48" i="31"/>
  <c r="G45" i="39"/>
  <c r="G54" i="31"/>
  <c r="AB37" i="31"/>
  <c r="W27" i="31"/>
  <c r="W19" i="31"/>
  <c r="AC29" i="31"/>
  <c r="AC37" i="31" s="1"/>
  <c r="W23" i="31"/>
  <c r="X12" i="31"/>
  <c r="X22" i="31" s="1"/>
  <c r="X28" i="31" s="1"/>
  <c r="X36" i="31" s="1"/>
  <c r="X9" i="31"/>
  <c r="Y5" i="31"/>
  <c r="X13" i="31"/>
  <c r="X14" i="31"/>
  <c r="X11" i="31"/>
  <c r="X21" i="31" s="1"/>
  <c r="X32" i="31" s="1"/>
  <c r="X40" i="31" s="1"/>
  <c r="X10" i="31"/>
  <c r="X20" i="31" s="1"/>
  <c r="X31" i="31" s="1"/>
  <c r="X39" i="31" s="1"/>
  <c r="X17" i="31"/>
  <c r="X7" i="31"/>
  <c r="V35" i="31"/>
  <c r="W35" i="31" l="1"/>
  <c r="AJ49" i="31"/>
  <c r="AJ48" i="31"/>
  <c r="AD29" i="31"/>
  <c r="AD37" i="31" s="1"/>
  <c r="X23" i="31"/>
  <c r="X30" i="31"/>
  <c r="X38" i="31" s="1"/>
  <c r="X24" i="31"/>
  <c r="X15" i="31"/>
  <c r="Y9" i="31"/>
  <c r="Y12" i="31"/>
  <c r="Y22" i="31" s="1"/>
  <c r="Z5" i="31"/>
  <c r="Y13" i="31"/>
  <c r="Y10" i="31"/>
  <c r="Y20" i="31" s="1"/>
  <c r="Y11" i="31"/>
  <c r="Y21" i="31" s="1"/>
  <c r="Y14" i="31"/>
  <c r="Y17" i="31"/>
  <c r="Y7" i="31"/>
  <c r="X27" i="31"/>
  <c r="X19" i="31"/>
  <c r="H45" i="39"/>
  <c r="H54" i="31"/>
  <c r="I45" i="39" l="1"/>
  <c r="I54" i="31"/>
  <c r="Y31" i="31"/>
  <c r="Y39" i="31" s="1"/>
  <c r="D39" i="52"/>
  <c r="Y27" i="31"/>
  <c r="Y19" i="31"/>
  <c r="D38" i="52" s="1"/>
  <c r="AK49" i="31"/>
  <c r="AK48" i="31"/>
  <c r="AE29" i="31"/>
  <c r="Y23" i="31"/>
  <c r="Y30" i="31"/>
  <c r="Y38" i="31" s="1"/>
  <c r="Y24" i="31"/>
  <c r="D42" i="52" s="1"/>
  <c r="Y15" i="31"/>
  <c r="Z12" i="31"/>
  <c r="Z22" i="31" s="1"/>
  <c r="Z28" i="31" s="1"/>
  <c r="Z9" i="31"/>
  <c r="AA5" i="31"/>
  <c r="Z14" i="31"/>
  <c r="Z10" i="31"/>
  <c r="Z20" i="31" s="1"/>
  <c r="Z31" i="31" s="1"/>
  <c r="Z39" i="31" s="1"/>
  <c r="Z11" i="31"/>
  <c r="Z21" i="31" s="1"/>
  <c r="Z32" i="31" s="1"/>
  <c r="Z40" i="31" s="1"/>
  <c r="Z13" i="31"/>
  <c r="Z7" i="31"/>
  <c r="Z17" i="31"/>
  <c r="X35" i="31"/>
  <c r="D40" i="52"/>
  <c r="Y32" i="31"/>
  <c r="Y28" i="31"/>
  <c r="D41" i="52"/>
  <c r="Y36" i="31" l="1"/>
  <c r="C68" i="31" s="1"/>
  <c r="I30" i="30" s="1"/>
  <c r="C62" i="31"/>
  <c r="I10" i="30" s="1"/>
  <c r="AA9" i="31"/>
  <c r="AA12" i="31"/>
  <c r="AA22" i="31" s="1"/>
  <c r="AA28" i="31" s="1"/>
  <c r="AA36" i="31" s="1"/>
  <c r="AB5" i="31"/>
  <c r="AA14" i="31"/>
  <c r="AA10" i="31"/>
  <c r="AA20" i="31" s="1"/>
  <c r="AA31" i="31" s="1"/>
  <c r="AA39" i="31" s="1"/>
  <c r="AA11" i="31"/>
  <c r="AA21" i="31" s="1"/>
  <c r="AA32" i="31" s="1"/>
  <c r="AA40" i="31" s="1"/>
  <c r="AA13" i="31"/>
  <c r="AA7" i="31"/>
  <c r="AA17" i="31"/>
  <c r="Z27" i="31"/>
  <c r="Z19" i="31"/>
  <c r="AF29" i="31"/>
  <c r="AF37" i="31" s="1"/>
  <c r="Z23" i="31"/>
  <c r="AL48" i="31"/>
  <c r="AL49" i="31"/>
  <c r="Z36" i="31"/>
  <c r="J45" i="39"/>
  <c r="J54" i="31"/>
  <c r="Y40" i="31"/>
  <c r="C70" i="31" s="1"/>
  <c r="I24" i="30" s="1"/>
  <c r="C64" i="31"/>
  <c r="I4" i="30" s="1"/>
  <c r="Z30" i="31"/>
  <c r="Z15" i="31"/>
  <c r="Z24" i="31"/>
  <c r="AE37" i="31"/>
  <c r="Y35" i="31"/>
  <c r="C67" i="31" s="1"/>
  <c r="I25" i="30" s="1"/>
  <c r="C61" i="31"/>
  <c r="Z35" i="31" l="1"/>
  <c r="I5" i="30"/>
  <c r="C75" i="31"/>
  <c r="AM48" i="31"/>
  <c r="AM49" i="31"/>
  <c r="AA27" i="31"/>
  <c r="AA19" i="31"/>
  <c r="Z38" i="31"/>
  <c r="AA30" i="31"/>
  <c r="AA38" i="31" s="1"/>
  <c r="AA15" i="31"/>
  <c r="AA24" i="31"/>
  <c r="I12" i="30"/>
  <c r="I27" i="30"/>
  <c r="K45" i="39"/>
  <c r="K54" i="31"/>
  <c r="AG29" i="31"/>
  <c r="AA23" i="31"/>
  <c r="AB12" i="31"/>
  <c r="AB22" i="31" s="1"/>
  <c r="AB28" i="31" s="1"/>
  <c r="AB36" i="31" s="1"/>
  <c r="AB9" i="31"/>
  <c r="AC5" i="31"/>
  <c r="AB10" i="31"/>
  <c r="AB20" i="31" s="1"/>
  <c r="AB31" i="31" s="1"/>
  <c r="AB39" i="31" s="1"/>
  <c r="AB11" i="31"/>
  <c r="AB21" i="31" s="1"/>
  <c r="AB32" i="31" s="1"/>
  <c r="AB40" i="31" s="1"/>
  <c r="AB13" i="31"/>
  <c r="AB14" i="31"/>
  <c r="AB17" i="31"/>
  <c r="AB7" i="31"/>
  <c r="I35" i="30"/>
  <c r="D37" i="54" s="1"/>
  <c r="I32" i="30"/>
  <c r="AH29" i="31" l="1"/>
  <c r="AH37" i="31" s="1"/>
  <c r="AB23" i="31"/>
  <c r="L45" i="39"/>
  <c r="L54" i="31"/>
  <c r="I7" i="30"/>
  <c r="AB27" i="31"/>
  <c r="AB19" i="31"/>
  <c r="I112" i="30"/>
  <c r="J63" i="44"/>
  <c r="I88" i="30"/>
  <c r="AN48" i="31"/>
  <c r="AN49" i="31"/>
  <c r="AB30" i="31"/>
  <c r="AB38" i="31" s="1"/>
  <c r="AB15" i="31"/>
  <c r="AB24" i="31"/>
  <c r="AC9" i="31"/>
  <c r="AC12" i="31"/>
  <c r="AC22" i="31" s="1"/>
  <c r="AC28" i="31" s="1"/>
  <c r="AD5" i="31"/>
  <c r="AC14" i="31"/>
  <c r="AC13" i="31"/>
  <c r="AC10" i="31"/>
  <c r="AC20" i="31" s="1"/>
  <c r="AC31" i="31" s="1"/>
  <c r="AC39" i="31" s="1"/>
  <c r="AC11" i="31"/>
  <c r="AC21" i="31" s="1"/>
  <c r="AC32" i="31" s="1"/>
  <c r="AC40" i="31" s="1"/>
  <c r="AC7" i="31"/>
  <c r="AC17" i="31"/>
  <c r="AG37" i="31"/>
  <c r="I87" i="30"/>
  <c r="AA35" i="31"/>
  <c r="AO48" i="31" l="1"/>
  <c r="AO49" i="31"/>
  <c r="AI29" i="31"/>
  <c r="AI37" i="31" s="1"/>
  <c r="AC23" i="31"/>
  <c r="AC27" i="31"/>
  <c r="AC19" i="31"/>
  <c r="J65" i="44"/>
  <c r="J69" i="44"/>
  <c r="I48" i="30"/>
  <c r="I109" i="30"/>
  <c r="I115" i="30" s="1"/>
  <c r="AC30" i="31"/>
  <c r="AC38" i="31" s="1"/>
  <c r="AC15" i="31"/>
  <c r="AC24" i="31"/>
  <c r="AD12" i="31"/>
  <c r="AD22" i="31" s="1"/>
  <c r="AD28" i="31" s="1"/>
  <c r="AD36" i="31" s="1"/>
  <c r="AD9" i="31"/>
  <c r="AE5" i="31"/>
  <c r="AD14" i="31"/>
  <c r="AD10" i="31"/>
  <c r="AD20" i="31" s="1"/>
  <c r="AD31" i="31" s="1"/>
  <c r="AD39" i="31" s="1"/>
  <c r="AD11" i="31"/>
  <c r="AD21" i="31" s="1"/>
  <c r="AD32" i="31" s="1"/>
  <c r="AD40" i="31" s="1"/>
  <c r="AD13" i="31"/>
  <c r="AD7" i="31"/>
  <c r="AD17" i="31"/>
  <c r="M45" i="39"/>
  <c r="M54" i="31"/>
  <c r="N45" i="39" s="1"/>
  <c r="AC36" i="31"/>
  <c r="AB35" i="31"/>
  <c r="AD27" i="31" l="1"/>
  <c r="AD19" i="31"/>
  <c r="AP48" i="31"/>
  <c r="AP49" i="31"/>
  <c r="AC35" i="31"/>
  <c r="Q29" i="44"/>
  <c r="H12" i="44" s="1"/>
  <c r="J40" i="30"/>
  <c r="J20" i="30"/>
  <c r="H21" i="48"/>
  <c r="I55" i="30"/>
  <c r="J26" i="30"/>
  <c r="J44" i="30"/>
  <c r="J45" i="30"/>
  <c r="J6" i="30"/>
  <c r="J31" i="30"/>
  <c r="J11" i="30"/>
  <c r="J9" i="30"/>
  <c r="J29" i="30"/>
  <c r="J4" i="30"/>
  <c r="J25" i="30"/>
  <c r="J30" i="30"/>
  <c r="J10" i="30"/>
  <c r="J24" i="30"/>
  <c r="J27" i="30"/>
  <c r="J32" i="30"/>
  <c r="J12" i="30"/>
  <c r="J5" i="30"/>
  <c r="AD24" i="31"/>
  <c r="AD30" i="31"/>
  <c r="AD15" i="31"/>
  <c r="J7" i="30"/>
  <c r="J76" i="44"/>
  <c r="J78" i="44" s="1"/>
  <c r="J71" i="44"/>
  <c r="AJ29" i="31"/>
  <c r="AJ37" i="31" s="1"/>
  <c r="AD23" i="31"/>
  <c r="AE9" i="31"/>
  <c r="AF5" i="31"/>
  <c r="AE14" i="31"/>
  <c r="AE10" i="31"/>
  <c r="AE20" i="31" s="1"/>
  <c r="AE31" i="31" s="1"/>
  <c r="AE39" i="31" s="1"/>
  <c r="AE11" i="31"/>
  <c r="AE21" i="31" s="1"/>
  <c r="AE32" i="31" s="1"/>
  <c r="AE40" i="31" s="1"/>
  <c r="AE12" i="31"/>
  <c r="AE22" i="31" s="1"/>
  <c r="AE28" i="31" s="1"/>
  <c r="AE13" i="31"/>
  <c r="AE7" i="31"/>
  <c r="AE17" i="31"/>
  <c r="AK29" i="31" l="1"/>
  <c r="AE23" i="31"/>
  <c r="AE30" i="31"/>
  <c r="AE38" i="31" s="1"/>
  <c r="AE15" i="31"/>
  <c r="AE24" i="31"/>
  <c r="AE36" i="31"/>
  <c r="AF12" i="31"/>
  <c r="AF22" i="31" s="1"/>
  <c r="AF28" i="31" s="1"/>
  <c r="AF36" i="31" s="1"/>
  <c r="AF9" i="31"/>
  <c r="AG5" i="31"/>
  <c r="AF13" i="31"/>
  <c r="AF10" i="31"/>
  <c r="AF20" i="31" s="1"/>
  <c r="AF31" i="31" s="1"/>
  <c r="AF39" i="31" s="1"/>
  <c r="AF11" i="31"/>
  <c r="AF21" i="31" s="1"/>
  <c r="AF32" i="31" s="1"/>
  <c r="AF40" i="31" s="1"/>
  <c r="AF14" i="31"/>
  <c r="AF7" i="31"/>
  <c r="AF17" i="31"/>
  <c r="AQ48" i="31"/>
  <c r="AQ49" i="31"/>
  <c r="AE27" i="31"/>
  <c r="AE19" i="31"/>
  <c r="AD38" i="31"/>
  <c r="AD35" i="31"/>
  <c r="N46" i="31"/>
  <c r="N53" i="31" s="1"/>
  <c r="O46" i="31"/>
  <c r="O53" i="31" s="1"/>
  <c r="P46" i="31"/>
  <c r="P53" i="31" s="1"/>
  <c r="Q46" i="31"/>
  <c r="Q53" i="31" s="1"/>
  <c r="S46" i="31"/>
  <c r="S53" i="31" s="1"/>
  <c r="W46" i="31"/>
  <c r="W53" i="31" s="1"/>
  <c r="I43" i="30"/>
  <c r="R46" i="31"/>
  <c r="R53" i="31" s="1"/>
  <c r="V46" i="31"/>
  <c r="V53" i="31" s="1"/>
  <c r="D38" i="54"/>
  <c r="U46" i="31"/>
  <c r="U53" i="31" s="1"/>
  <c r="Y46" i="31"/>
  <c r="Y53" i="31" s="1"/>
  <c r="T46" i="31"/>
  <c r="T53" i="31" s="1"/>
  <c r="X46" i="31"/>
  <c r="X53" i="31" s="1"/>
  <c r="AE35" i="31" l="1"/>
  <c r="AL29" i="31"/>
  <c r="AF23" i="31"/>
  <c r="N54" i="31"/>
  <c r="O45" i="39" s="1"/>
  <c r="AF30" i="31"/>
  <c r="AF24" i="31"/>
  <c r="AF15" i="31"/>
  <c r="AG9" i="31"/>
  <c r="AG12" i="31"/>
  <c r="AG22" i="31" s="1"/>
  <c r="AG28" i="31" s="1"/>
  <c r="AG36" i="31" s="1"/>
  <c r="AH5" i="31"/>
  <c r="AG14" i="31"/>
  <c r="AG13" i="31"/>
  <c r="AG10" i="31"/>
  <c r="AG20" i="31" s="1"/>
  <c r="AG31" i="31" s="1"/>
  <c r="AG39" i="31" s="1"/>
  <c r="AG11" i="31"/>
  <c r="AG21" i="31" s="1"/>
  <c r="AG32" i="31" s="1"/>
  <c r="AG40" i="31" s="1"/>
  <c r="AG17" i="31"/>
  <c r="AG7" i="31"/>
  <c r="J43" i="30"/>
  <c r="I46" i="30"/>
  <c r="AR48" i="31"/>
  <c r="AR49" i="31"/>
  <c r="AF27" i="31"/>
  <c r="AF19" i="31"/>
  <c r="AK37" i="31"/>
  <c r="D69" i="31" s="1"/>
  <c r="K29" i="30" s="1"/>
  <c r="D63" i="31"/>
  <c r="K9" i="30" s="1"/>
  <c r="AH12" i="31" l="1"/>
  <c r="AH22" i="31" s="1"/>
  <c r="AH28" i="31" s="1"/>
  <c r="AH36" i="31" s="1"/>
  <c r="AH9" i="31"/>
  <c r="AI5" i="31"/>
  <c r="AH13" i="31"/>
  <c r="AH14" i="31"/>
  <c r="AH10" i="31"/>
  <c r="AH20" i="31" s="1"/>
  <c r="AH31" i="31" s="1"/>
  <c r="AH39" i="31" s="1"/>
  <c r="AH11" i="31"/>
  <c r="AH21" i="31" s="1"/>
  <c r="AH32" i="31" s="1"/>
  <c r="AH40" i="31" s="1"/>
  <c r="AH17" i="31"/>
  <c r="AH7" i="31"/>
  <c r="AF35" i="31"/>
  <c r="AF38" i="31"/>
  <c r="AL37" i="31"/>
  <c r="O54" i="31"/>
  <c r="AM29" i="31"/>
  <c r="AM37" i="31" s="1"/>
  <c r="AG23" i="31"/>
  <c r="AG27" i="31"/>
  <c r="AG19" i="31"/>
  <c r="K64" i="44"/>
  <c r="K34" i="30"/>
  <c r="E36" i="54" s="1"/>
  <c r="AS48" i="31"/>
  <c r="AS49" i="31"/>
  <c r="AG30" i="31"/>
  <c r="AG38" i="31" s="1"/>
  <c r="AG15" i="31"/>
  <c r="AG24" i="31"/>
  <c r="J46" i="30"/>
  <c r="I49" i="30"/>
  <c r="I51" i="30" s="1"/>
  <c r="H22" i="48" l="1"/>
  <c r="I53" i="30"/>
  <c r="Q30" i="44"/>
  <c r="P45" i="39"/>
  <c r="P54" i="31"/>
  <c r="AT48" i="31"/>
  <c r="AT49" i="31"/>
  <c r="AN29" i="31"/>
  <c r="AN37" i="31" s="1"/>
  <c r="AH23" i="31"/>
  <c r="AG35" i="31"/>
  <c r="AI9" i="31"/>
  <c r="AJ5" i="31"/>
  <c r="AI12" i="31"/>
  <c r="AI22" i="31" s="1"/>
  <c r="AI28" i="31" s="1"/>
  <c r="AI36" i="31" s="1"/>
  <c r="AI14" i="31"/>
  <c r="AI10" i="31"/>
  <c r="AI20" i="31" s="1"/>
  <c r="AI31" i="31" s="1"/>
  <c r="AI39" i="31" s="1"/>
  <c r="AI11" i="31"/>
  <c r="AI21" i="31" s="1"/>
  <c r="AI32" i="31" s="1"/>
  <c r="AI40" i="31" s="1"/>
  <c r="AI13" i="31"/>
  <c r="AI17" i="31"/>
  <c r="AI7" i="31"/>
  <c r="K70" i="44"/>
  <c r="AH27" i="31"/>
  <c r="AH19" i="31"/>
  <c r="AH30" i="31"/>
  <c r="AH38" i="31" s="1"/>
  <c r="AH15" i="31"/>
  <c r="AH24" i="31"/>
  <c r="K77" i="44" l="1"/>
  <c r="AU48" i="31"/>
  <c r="AU49" i="31"/>
  <c r="AI30" i="31"/>
  <c r="AI38" i="31" s="1"/>
  <c r="AI15" i="31"/>
  <c r="AI24" i="31"/>
  <c r="Q45" i="39"/>
  <c r="Q54" i="31"/>
  <c r="AO29" i="31"/>
  <c r="AI23" i="31"/>
  <c r="AJ12" i="31"/>
  <c r="AJ22" i="31" s="1"/>
  <c r="AJ28" i="31" s="1"/>
  <c r="AJ36" i="31" s="1"/>
  <c r="AJ9" i="31"/>
  <c r="AK5" i="31"/>
  <c r="AJ13" i="31"/>
  <c r="AJ10" i="31"/>
  <c r="AJ20" i="31" s="1"/>
  <c r="AJ31" i="31" s="1"/>
  <c r="AJ39" i="31" s="1"/>
  <c r="AJ11" i="31"/>
  <c r="AJ21" i="31" s="1"/>
  <c r="AJ32" i="31" s="1"/>
  <c r="AJ40" i="31" s="1"/>
  <c r="AJ14" i="31"/>
  <c r="AJ17" i="31"/>
  <c r="AJ7" i="31"/>
  <c r="AH35" i="31"/>
  <c r="AI27" i="31"/>
  <c r="AI19" i="31"/>
  <c r="AJ27" i="31" l="1"/>
  <c r="AJ19" i="31"/>
  <c r="R45" i="39"/>
  <c r="R54" i="31"/>
  <c r="AI35" i="31"/>
  <c r="AV48" i="31"/>
  <c r="AV49" i="31"/>
  <c r="AP29" i="31"/>
  <c r="AP37" i="31" s="1"/>
  <c r="AJ23" i="31"/>
  <c r="AJ30" i="31"/>
  <c r="AJ38" i="31" s="1"/>
  <c r="AJ15" i="31"/>
  <c r="AJ24" i="31"/>
  <c r="AK9" i="31"/>
  <c r="AK12" i="31"/>
  <c r="AK22" i="31" s="1"/>
  <c r="AL5" i="31"/>
  <c r="AK14" i="31"/>
  <c r="AK13" i="31"/>
  <c r="AK11" i="31"/>
  <c r="AK21" i="31" s="1"/>
  <c r="AK17" i="31"/>
  <c r="AK7" i="31"/>
  <c r="AK10" i="31"/>
  <c r="AK20" i="31" s="1"/>
  <c r="AO37" i="31"/>
  <c r="AK32" i="31" l="1"/>
  <c r="E40" i="52"/>
  <c r="AK30" i="31"/>
  <c r="AK38" i="31" s="1"/>
  <c r="AK15" i="31"/>
  <c r="AK24" i="31"/>
  <c r="E42" i="52" s="1"/>
  <c r="AJ35" i="31"/>
  <c r="AW48" i="31"/>
  <c r="AW49" i="31"/>
  <c r="AL12" i="31"/>
  <c r="AL22" i="31" s="1"/>
  <c r="AL28" i="31" s="1"/>
  <c r="AL9" i="31"/>
  <c r="AM5" i="31"/>
  <c r="AL10" i="31"/>
  <c r="AL20" i="31" s="1"/>
  <c r="AL31" i="31" s="1"/>
  <c r="AL39" i="31" s="1"/>
  <c r="AL11" i="31"/>
  <c r="AL21" i="31" s="1"/>
  <c r="AL32" i="31" s="1"/>
  <c r="AL40" i="31" s="1"/>
  <c r="AL13" i="31"/>
  <c r="AL14" i="31"/>
  <c r="AL7" i="31"/>
  <c r="AL17" i="31"/>
  <c r="S45" i="39"/>
  <c r="S54" i="31"/>
  <c r="AK28" i="31"/>
  <c r="E41" i="52"/>
  <c r="AK31" i="31"/>
  <c r="AK39" i="31" s="1"/>
  <c r="E39" i="52"/>
  <c r="AQ29" i="31"/>
  <c r="AQ37" i="31" s="1"/>
  <c r="AK23" i="31"/>
  <c r="AK27" i="31"/>
  <c r="AK19" i="31"/>
  <c r="E38" i="52" s="1"/>
  <c r="AK36" i="31" l="1"/>
  <c r="D68" i="31" s="1"/>
  <c r="K30" i="30" s="1"/>
  <c r="D62" i="31"/>
  <c r="K10" i="30" s="1"/>
  <c r="T45" i="39"/>
  <c r="T54" i="31"/>
  <c r="AL30" i="31"/>
  <c r="AL24" i="31"/>
  <c r="AL15" i="31"/>
  <c r="AR29" i="31"/>
  <c r="AR37" i="31" s="1"/>
  <c r="AL23" i="31"/>
  <c r="AL27" i="31"/>
  <c r="AL19" i="31"/>
  <c r="AL36" i="31"/>
  <c r="AK35" i="31"/>
  <c r="D67" i="31" s="1"/>
  <c r="K25" i="30" s="1"/>
  <c r="D61" i="31"/>
  <c r="AM9" i="31"/>
  <c r="AM12" i="31"/>
  <c r="AM22" i="31" s="1"/>
  <c r="AM28" i="31" s="1"/>
  <c r="AM36" i="31" s="1"/>
  <c r="AN5" i="31"/>
  <c r="AM14" i="31"/>
  <c r="AM10" i="31"/>
  <c r="AM20" i="31" s="1"/>
  <c r="AM31" i="31" s="1"/>
  <c r="AM39" i="31" s="1"/>
  <c r="AM11" i="31"/>
  <c r="AM21" i="31" s="1"/>
  <c r="AM32" i="31" s="1"/>
  <c r="AM40" i="31" s="1"/>
  <c r="AM17" i="31"/>
  <c r="AM13" i="31"/>
  <c r="AM7" i="31"/>
  <c r="AK40" i="31"/>
  <c r="D70" i="31" s="1"/>
  <c r="K24" i="30" s="1"/>
  <c r="D64" i="31"/>
  <c r="K4" i="30" s="1"/>
  <c r="K27" i="30" l="1"/>
  <c r="AN12" i="31"/>
  <c r="AN22" i="31" s="1"/>
  <c r="AN28" i="31" s="1"/>
  <c r="AN36" i="31" s="1"/>
  <c r="AN9" i="31"/>
  <c r="AO5" i="31"/>
  <c r="AN10" i="31"/>
  <c r="AN20" i="31" s="1"/>
  <c r="AN31" i="31" s="1"/>
  <c r="AN39" i="31" s="1"/>
  <c r="AN11" i="31"/>
  <c r="AN21" i="31" s="1"/>
  <c r="AN32" i="31" s="1"/>
  <c r="AN40" i="31" s="1"/>
  <c r="AN13" i="31"/>
  <c r="AN17" i="31"/>
  <c r="AN14" i="31"/>
  <c r="AN7" i="31"/>
  <c r="AM27" i="31"/>
  <c r="AM19" i="31"/>
  <c r="AL35" i="31"/>
  <c r="K12" i="30"/>
  <c r="AS29" i="31"/>
  <c r="AS37" i="31" s="1"/>
  <c r="AM23" i="31"/>
  <c r="AM30" i="31"/>
  <c r="AM38" i="31" s="1"/>
  <c r="AM15" i="31"/>
  <c r="AM24" i="31"/>
  <c r="K5" i="30"/>
  <c r="D75" i="31"/>
  <c r="AL38" i="31"/>
  <c r="K35" i="30"/>
  <c r="E37" i="54" s="1"/>
  <c r="K32" i="30"/>
  <c r="U45" i="39"/>
  <c r="U54" i="31"/>
  <c r="AM35" i="31" l="1"/>
  <c r="AT29" i="31"/>
  <c r="AT37" i="31" s="1"/>
  <c r="AN23" i="31"/>
  <c r="AN27" i="31"/>
  <c r="AN19" i="31"/>
  <c r="K63" i="44"/>
  <c r="K88" i="30"/>
  <c r="K7" i="30"/>
  <c r="K87" i="30"/>
  <c r="AN30" i="31"/>
  <c r="AN15" i="31"/>
  <c r="AN24" i="31"/>
  <c r="V45" i="39"/>
  <c r="V54" i="31"/>
  <c r="AO9" i="31"/>
  <c r="AO12" i="31"/>
  <c r="AO22" i="31" s="1"/>
  <c r="AO28" i="31" s="1"/>
  <c r="AP5" i="31"/>
  <c r="AO14" i="31"/>
  <c r="AO13" i="31"/>
  <c r="AO10" i="31"/>
  <c r="AO20" i="31" s="1"/>
  <c r="AO31" i="31" s="1"/>
  <c r="AO39" i="31" s="1"/>
  <c r="AO11" i="31"/>
  <c r="AO21" i="31" s="1"/>
  <c r="AO32" i="31" s="1"/>
  <c r="AO40" i="31" s="1"/>
  <c r="AO17" i="31"/>
  <c r="AO7" i="31"/>
  <c r="K112" i="30"/>
  <c r="AP12" i="31" l="1"/>
  <c r="AP22" i="31" s="1"/>
  <c r="AP28" i="31" s="1"/>
  <c r="AP36" i="31" s="1"/>
  <c r="AP9" i="31"/>
  <c r="AQ5" i="31"/>
  <c r="AP10" i="31"/>
  <c r="AP20" i="31" s="1"/>
  <c r="AP31" i="31" s="1"/>
  <c r="AP39" i="31" s="1"/>
  <c r="AP11" i="31"/>
  <c r="AP21" i="31" s="1"/>
  <c r="AP32" i="31" s="1"/>
  <c r="AP40" i="31" s="1"/>
  <c r="AP13" i="31"/>
  <c r="AP14" i="31"/>
  <c r="AP7" i="31"/>
  <c r="AP17" i="31"/>
  <c r="AU29" i="31"/>
  <c r="AU37" i="31" s="1"/>
  <c r="AO23" i="31"/>
  <c r="AO27" i="31"/>
  <c r="AO19" i="31"/>
  <c r="K69" i="44"/>
  <c r="K65" i="44"/>
  <c r="AO30" i="31"/>
  <c r="AO38" i="31" s="1"/>
  <c r="AO15" i="31"/>
  <c r="AO24" i="31"/>
  <c r="W45" i="39"/>
  <c r="W54" i="31"/>
  <c r="AN38" i="31"/>
  <c r="K48" i="30"/>
  <c r="K109" i="30"/>
  <c r="K115" i="30" s="1"/>
  <c r="AN35" i="31"/>
  <c r="AO36" i="31"/>
  <c r="R29" i="44" l="1"/>
  <c r="J12" i="44" s="1"/>
  <c r="K55" i="30"/>
  <c r="L6" i="30"/>
  <c r="L26" i="30"/>
  <c r="L40" i="30"/>
  <c r="L20" i="30"/>
  <c r="I21" i="48"/>
  <c r="L45" i="30"/>
  <c r="L44" i="30"/>
  <c r="L31" i="30"/>
  <c r="L11" i="30"/>
  <c r="L29" i="30"/>
  <c r="L9" i="30"/>
  <c r="L4" i="30"/>
  <c r="L10" i="30"/>
  <c r="L24" i="30"/>
  <c r="L30" i="30"/>
  <c r="L25" i="30"/>
  <c r="L32" i="30"/>
  <c r="L27" i="30"/>
  <c r="L5" i="30"/>
  <c r="L12" i="30"/>
  <c r="AO35" i="31"/>
  <c r="AP30" i="31"/>
  <c r="AP38" i="31" s="1"/>
  <c r="AP24" i="31"/>
  <c r="AP15" i="31"/>
  <c r="AQ9" i="31"/>
  <c r="AR5" i="31"/>
  <c r="AQ12" i="31"/>
  <c r="AQ22" i="31" s="1"/>
  <c r="AQ28" i="31" s="1"/>
  <c r="AQ14" i="31"/>
  <c r="AQ10" i="31"/>
  <c r="AQ20" i="31" s="1"/>
  <c r="AQ31" i="31" s="1"/>
  <c r="AQ39" i="31" s="1"/>
  <c r="AQ11" i="31"/>
  <c r="AQ21" i="31" s="1"/>
  <c r="AQ32" i="31" s="1"/>
  <c r="AQ40" i="31" s="1"/>
  <c r="AQ13" i="31"/>
  <c r="AQ17" i="31"/>
  <c r="AQ7" i="31"/>
  <c r="K76" i="44"/>
  <c r="K78" i="44" s="1"/>
  <c r="K71" i="44"/>
  <c r="AV29" i="31"/>
  <c r="AV37" i="31" s="1"/>
  <c r="AP23" i="31"/>
  <c r="AP27" i="31"/>
  <c r="AP19" i="31"/>
  <c r="L7" i="30"/>
  <c r="X45" i="39"/>
  <c r="X54" i="31"/>
  <c r="AR12" i="31" l="1"/>
  <c r="AR22" i="31" s="1"/>
  <c r="AR28" i="31" s="1"/>
  <c r="AR36" i="31" s="1"/>
  <c r="AR9" i="31"/>
  <c r="AS5" i="31"/>
  <c r="AR10" i="31"/>
  <c r="AR20" i="31" s="1"/>
  <c r="AR31" i="31" s="1"/>
  <c r="AR39" i="31" s="1"/>
  <c r="AR11" i="31"/>
  <c r="AR21" i="31" s="1"/>
  <c r="AR32" i="31" s="1"/>
  <c r="AR40" i="31" s="1"/>
  <c r="AR14" i="31"/>
  <c r="AR17" i="31"/>
  <c r="AR7" i="31"/>
  <c r="AR13" i="31"/>
  <c r="AR23" i="31" s="1"/>
  <c r="Y45" i="39"/>
  <c r="Y54" i="31"/>
  <c r="Z45" i="39" s="1"/>
  <c r="AQ27" i="31"/>
  <c r="AQ19" i="31"/>
  <c r="AP35" i="31"/>
  <c r="AQ30" i="31"/>
  <c r="AQ38" i="31" s="1"/>
  <c r="AQ15" i="31"/>
  <c r="AQ24" i="31"/>
  <c r="AW29" i="31"/>
  <c r="AQ23" i="31"/>
  <c r="AQ36" i="31"/>
  <c r="Z46" i="31"/>
  <c r="Z53" i="31" s="1"/>
  <c r="AA46" i="31"/>
  <c r="AA53" i="31" s="1"/>
  <c r="AB46" i="31"/>
  <c r="AB53" i="31" s="1"/>
  <c r="AC46" i="31"/>
  <c r="AC53" i="31" s="1"/>
  <c r="AD46" i="31"/>
  <c r="AD53" i="31" s="1"/>
  <c r="AE46" i="31"/>
  <c r="AE53" i="31" s="1"/>
  <c r="AF46" i="31"/>
  <c r="AF53" i="31" s="1"/>
  <c r="AG46" i="31"/>
  <c r="AG53" i="31" s="1"/>
  <c r="AH46" i="31"/>
  <c r="AH53" i="31" s="1"/>
  <c r="AI46" i="31"/>
  <c r="AI53" i="31" s="1"/>
  <c r="AJ46" i="31"/>
  <c r="AJ53" i="31" s="1"/>
  <c r="AK46" i="31"/>
  <c r="AK53" i="31" s="1"/>
  <c r="K43" i="30"/>
  <c r="E38" i="54"/>
  <c r="AQ35" i="31" l="1"/>
  <c r="AS9" i="31"/>
  <c r="AS12" i="31"/>
  <c r="AS22" i="31" s="1"/>
  <c r="AS28" i="31" s="1"/>
  <c r="AS14" i="31"/>
  <c r="AT5" i="31"/>
  <c r="AS10" i="31"/>
  <c r="AS20" i="31" s="1"/>
  <c r="AS31" i="31" s="1"/>
  <c r="AS39" i="31" s="1"/>
  <c r="AS11" i="31"/>
  <c r="AS21" i="31" s="1"/>
  <c r="AS32" i="31" s="1"/>
  <c r="AS40" i="31" s="1"/>
  <c r="AS13" i="31"/>
  <c r="AS23" i="31" s="1"/>
  <c r="AS17" i="31"/>
  <c r="AS7" i="31"/>
  <c r="K46" i="30"/>
  <c r="L43" i="30"/>
  <c r="Z54" i="31"/>
  <c r="AA45" i="39" s="1"/>
  <c r="AW37" i="31"/>
  <c r="AX29" i="31"/>
  <c r="E63" i="31"/>
  <c r="M9" i="30" s="1"/>
  <c r="AR30" i="31"/>
  <c r="AR38" i="31" s="1"/>
  <c r="AR15" i="31"/>
  <c r="AR24" i="31"/>
  <c r="AR27" i="31"/>
  <c r="AR19" i="31"/>
  <c r="AA54" i="31" l="1"/>
  <c r="AB45" i="39" s="1"/>
  <c r="AX37" i="31"/>
  <c r="AY37" i="31" s="1"/>
  <c r="E69" i="31"/>
  <c r="M29" i="30" s="1"/>
  <c r="AS36" i="31"/>
  <c r="AS27" i="31"/>
  <c r="AS19" i="31"/>
  <c r="AR35" i="31"/>
  <c r="L64" i="44"/>
  <c r="AT12" i="31"/>
  <c r="AT22" i="31" s="1"/>
  <c r="AT28" i="31" s="1"/>
  <c r="AT36" i="31" s="1"/>
  <c r="AT9" i="31"/>
  <c r="AT14" i="31"/>
  <c r="AT10" i="31"/>
  <c r="AT20" i="31" s="1"/>
  <c r="AT31" i="31" s="1"/>
  <c r="AT39" i="31" s="1"/>
  <c r="AT11" i="31"/>
  <c r="AT21" i="31" s="1"/>
  <c r="AT32" i="31" s="1"/>
  <c r="AT40" i="31" s="1"/>
  <c r="AU5" i="31"/>
  <c r="AT7" i="31"/>
  <c r="AT13" i="31"/>
  <c r="AT23" i="31" s="1"/>
  <c r="AT17" i="31"/>
  <c r="AS30" i="31"/>
  <c r="AS38" i="31" s="1"/>
  <c r="AS15" i="31"/>
  <c r="AS24" i="31"/>
  <c r="L46" i="30"/>
  <c r="K49" i="30"/>
  <c r="K51" i="30" s="1"/>
  <c r="AB54" i="31" l="1"/>
  <c r="AC45" i="39" s="1"/>
  <c r="L70" i="44"/>
  <c r="O64" i="44"/>
  <c r="R30" i="44"/>
  <c r="I22" i="48"/>
  <c r="K53" i="30"/>
  <c r="AT30" i="31"/>
  <c r="AT38" i="31" s="1"/>
  <c r="AT15" i="31"/>
  <c r="AT24" i="31"/>
  <c r="AU9" i="31"/>
  <c r="AU12" i="31"/>
  <c r="AU22" i="31" s="1"/>
  <c r="AU28" i="31" s="1"/>
  <c r="AU36" i="31" s="1"/>
  <c r="AU14" i="31"/>
  <c r="AU10" i="31"/>
  <c r="AU20" i="31" s="1"/>
  <c r="AU31" i="31" s="1"/>
  <c r="AU39" i="31" s="1"/>
  <c r="AU11" i="31"/>
  <c r="AU21" i="31" s="1"/>
  <c r="AU32" i="31" s="1"/>
  <c r="AU40" i="31" s="1"/>
  <c r="AV5" i="31"/>
  <c r="AU13" i="31"/>
  <c r="AU23" i="31" s="1"/>
  <c r="AU17" i="31"/>
  <c r="AU7" i="31"/>
  <c r="AT27" i="31"/>
  <c r="AT19" i="31"/>
  <c r="M34" i="30"/>
  <c r="F36" i="54" s="1"/>
  <c r="AS35" i="31"/>
  <c r="AC54" i="31" l="1"/>
  <c r="AD54" i="31" s="1"/>
  <c r="AT35" i="31"/>
  <c r="AV12" i="31"/>
  <c r="AV22" i="31" s="1"/>
  <c r="AV28" i="31" s="1"/>
  <c r="AV36" i="31" s="1"/>
  <c r="AV9" i="31"/>
  <c r="AV14" i="31"/>
  <c r="AV10" i="31"/>
  <c r="AV20" i="31" s="1"/>
  <c r="AV31" i="31" s="1"/>
  <c r="AV39" i="31" s="1"/>
  <c r="AV11" i="31"/>
  <c r="AV21" i="31" s="1"/>
  <c r="AV32" i="31" s="1"/>
  <c r="AV40" i="31" s="1"/>
  <c r="AW5" i="31"/>
  <c r="AV7" i="31"/>
  <c r="AV17" i="31"/>
  <c r="AV13" i="31"/>
  <c r="AV23" i="31" s="1"/>
  <c r="AU27" i="31"/>
  <c r="AU19" i="31"/>
  <c r="L77" i="44"/>
  <c r="O70" i="44"/>
  <c r="P70" i="44" s="1"/>
  <c r="AU30" i="31"/>
  <c r="AU38" i="31" s="1"/>
  <c r="AU15" i="31"/>
  <c r="AU24" i="31"/>
  <c r="AD45" i="39" l="1"/>
  <c r="AE45" i="39"/>
  <c r="AE54" i="31"/>
  <c r="AV30" i="31"/>
  <c r="AV38" i="31" s="1"/>
  <c r="AV15" i="31"/>
  <c r="AV24" i="31"/>
  <c r="AU35" i="31"/>
  <c r="AW9" i="31"/>
  <c r="AW12" i="31"/>
  <c r="AW14" i="31"/>
  <c r="AW11" i="31"/>
  <c r="AW10" i="31"/>
  <c r="AW7" i="31"/>
  <c r="AW17" i="31"/>
  <c r="AW13" i="31"/>
  <c r="AV27" i="31"/>
  <c r="AV19" i="31"/>
  <c r="AW21" i="31" l="1"/>
  <c r="AX11" i="31"/>
  <c r="AW22" i="31"/>
  <c r="AX12" i="31"/>
  <c r="AV35" i="31"/>
  <c r="AW20" i="31"/>
  <c r="AX10" i="31"/>
  <c r="AW27" i="31"/>
  <c r="AW19" i="31"/>
  <c r="AX9" i="31"/>
  <c r="AW23" i="31"/>
  <c r="AX23" i="31" s="1"/>
  <c r="AX13" i="31"/>
  <c r="AW30" i="31"/>
  <c r="AW15" i="31"/>
  <c r="AW24" i="31"/>
  <c r="AX14" i="31"/>
  <c r="AF45" i="39"/>
  <c r="AF54" i="31"/>
  <c r="AW35" i="31" l="1"/>
  <c r="AX27" i="31"/>
  <c r="E61" i="31"/>
  <c r="AW32" i="31"/>
  <c r="AX21" i="31"/>
  <c r="F40" i="52"/>
  <c r="F42" i="52"/>
  <c r="AX24" i="31"/>
  <c r="AG45" i="39"/>
  <c r="AG54" i="31"/>
  <c r="AW31" i="31"/>
  <c r="AX20" i="31"/>
  <c r="F39" i="52"/>
  <c r="AY42" i="31"/>
  <c r="AY43" i="31"/>
  <c r="AW28" i="31"/>
  <c r="AX22" i="31"/>
  <c r="F41" i="52"/>
  <c r="AW38" i="31"/>
  <c r="AX38" i="31" s="1"/>
  <c r="AX30" i="31"/>
  <c r="AX19" i="31"/>
  <c r="F38" i="52"/>
  <c r="AW36" i="31" l="1"/>
  <c r="AX28" i="31"/>
  <c r="E62" i="31"/>
  <c r="M10" i="30" s="1"/>
  <c r="AW40" i="31"/>
  <c r="AX32" i="31"/>
  <c r="E64" i="31"/>
  <c r="M4" i="30" s="1"/>
  <c r="AX35" i="31"/>
  <c r="AY35" i="31" s="1"/>
  <c r="E67" i="31"/>
  <c r="M25" i="30" s="1"/>
  <c r="AY38" i="31"/>
  <c r="AW39" i="31"/>
  <c r="AX39" i="31" s="1"/>
  <c r="AX31" i="31"/>
  <c r="M5" i="30"/>
  <c r="AH45" i="39"/>
  <c r="AH54" i="31"/>
  <c r="AX36" i="31" l="1"/>
  <c r="AY36" i="31" s="1"/>
  <c r="E68" i="31"/>
  <c r="AX40" i="31"/>
  <c r="AY40" i="31" s="1"/>
  <c r="E70" i="31"/>
  <c r="M24" i="30" s="1"/>
  <c r="M12" i="30"/>
  <c r="AY39" i="31"/>
  <c r="M7" i="30"/>
  <c r="L63" i="44"/>
  <c r="AI45" i="39"/>
  <c r="AI54" i="31"/>
  <c r="M87" i="30" l="1"/>
  <c r="K123" i="30"/>
  <c r="L65" i="44"/>
  <c r="O65" i="44" s="1"/>
  <c r="O63" i="44"/>
  <c r="AJ45" i="39"/>
  <c r="AJ54" i="31"/>
  <c r="M48" i="30"/>
  <c r="N12" i="30" s="1"/>
  <c r="M109" i="30"/>
  <c r="L123" i="30"/>
  <c r="M27" i="30"/>
  <c r="M30" i="30"/>
  <c r="E75" i="31"/>
  <c r="N24" i="30" l="1"/>
  <c r="AK45" i="39"/>
  <c r="AK54" i="31"/>
  <c r="AL45" i="39" s="1"/>
  <c r="N30" i="30"/>
  <c r="M35" i="30"/>
  <c r="F37" i="54" s="1"/>
  <c r="M32" i="30"/>
  <c r="N7" i="30"/>
  <c r="N27" i="30"/>
  <c r="S29" i="44"/>
  <c r="K12" i="44" s="1"/>
  <c r="N40" i="30"/>
  <c r="N45" i="30"/>
  <c r="N26" i="30"/>
  <c r="N6" i="30"/>
  <c r="N44" i="30"/>
  <c r="N31" i="30"/>
  <c r="J21" i="48"/>
  <c r="N20" i="30"/>
  <c r="M55" i="30"/>
  <c r="N11" i="30"/>
  <c r="N9" i="30"/>
  <c r="N29" i="30"/>
  <c r="N5" i="30"/>
  <c r="N10" i="30"/>
  <c r="N25" i="30"/>
  <c r="N4" i="30"/>
  <c r="L69" i="44"/>
  <c r="N32" i="30" l="1"/>
  <c r="M88" i="30"/>
  <c r="M112" i="30"/>
  <c r="M115" i="30" s="1"/>
  <c r="L76" i="44"/>
  <c r="L78" i="44" s="1"/>
  <c r="K23" i="44" s="1"/>
  <c r="J26" i="48" s="1"/>
  <c r="L71" i="44"/>
  <c r="O71" i="44" s="1"/>
  <c r="P71" i="44" s="1"/>
  <c r="O69" i="44"/>
  <c r="P69" i="44" s="1"/>
  <c r="M43" i="30"/>
  <c r="AL46" i="31"/>
  <c r="AL53" i="31" s="1"/>
  <c r="AM46" i="31"/>
  <c r="AM53" i="31" s="1"/>
  <c r="AN46" i="31"/>
  <c r="AN53" i="31" s="1"/>
  <c r="AO46" i="31"/>
  <c r="AO53" i="31" s="1"/>
  <c r="AP46" i="31"/>
  <c r="AP53" i="31" s="1"/>
  <c r="AQ46" i="31"/>
  <c r="AQ53" i="31" s="1"/>
  <c r="AR46" i="31"/>
  <c r="AR53" i="31" s="1"/>
  <c r="AS46" i="31"/>
  <c r="AS53" i="31" s="1"/>
  <c r="AV46" i="31"/>
  <c r="AV53" i="31" s="1"/>
  <c r="AW46" i="31"/>
  <c r="AW53" i="31" s="1"/>
  <c r="F38" i="54"/>
  <c r="AT46" i="31"/>
  <c r="AT53" i="31" s="1"/>
  <c r="AU46" i="31"/>
  <c r="AU53" i="31" s="1"/>
  <c r="AL54" i="31" l="1"/>
  <c r="AM45" i="39" s="1"/>
  <c r="H58" i="31"/>
  <c r="N43" i="30"/>
  <c r="M46" i="30"/>
  <c r="N46" i="30" l="1"/>
  <c r="M49" i="30"/>
  <c r="M51" i="30" s="1"/>
  <c r="AM54" i="31"/>
  <c r="AN45" i="39" l="1"/>
  <c r="AN54" i="31"/>
  <c r="M53" i="30"/>
  <c r="J22" i="48"/>
  <c r="S30" i="44"/>
  <c r="AO45" i="39" l="1"/>
  <c r="AO54" i="31"/>
  <c r="AP45" i="39" l="1"/>
  <c r="AP54" i="31"/>
  <c r="AQ45" i="39" l="1"/>
  <c r="AQ54" i="31"/>
  <c r="AR45" i="39" l="1"/>
  <c r="AR54" i="31"/>
  <c r="AS45" i="39" l="1"/>
  <c r="AS54" i="31"/>
  <c r="AT45" i="39" l="1"/>
  <c r="AT54" i="31"/>
  <c r="AU45" i="39" l="1"/>
  <c r="AU54" i="31"/>
  <c r="AV45" i="39" l="1"/>
  <c r="AV54" i="31"/>
  <c r="AW45" i="39" l="1"/>
  <c r="AW54" i="31"/>
  <c r="AX45" i="39" l="1"/>
  <c r="J33" i="39"/>
</calcChain>
</file>

<file path=xl/comments1.xml><?xml version="1.0" encoding="utf-8"?>
<comments xmlns="http://schemas.openxmlformats.org/spreadsheetml/2006/main">
  <authors>
    <author>Dana Willmer</author>
  </authors>
  <commentList>
    <comment ref="G2" authorId="0" shapeId="0">
      <text>
        <r>
          <rPr>
            <b/>
            <sz val="9"/>
            <color indexed="81"/>
            <rFont val="Tahoma"/>
            <family val="2"/>
          </rPr>
          <t>What is the retail price to the customer for Office 365, per user per month?</t>
        </r>
      </text>
    </comment>
    <comment ref="C7" authorId="0" shapeId="0">
      <text>
        <r>
          <rPr>
            <b/>
            <sz val="9"/>
            <color indexed="81"/>
            <rFont val="Tahoma"/>
            <family val="2"/>
          </rPr>
          <t>Of the above overall users, how many will also be CRM users?</t>
        </r>
      </text>
    </comment>
    <comment ref="G9" authorId="0" shapeId="0">
      <text>
        <r>
          <rPr>
            <b/>
            <sz val="9"/>
            <color indexed="81"/>
            <rFont val="Tahoma"/>
            <family val="2"/>
          </rPr>
          <t>How many customers do you anticipate adding in year 1?</t>
        </r>
      </text>
    </comment>
    <comment ref="H9" authorId="0" shapeId="0">
      <text>
        <r>
          <rPr>
            <b/>
            <sz val="9"/>
            <color indexed="81"/>
            <rFont val="Tahoma"/>
            <family val="2"/>
          </rPr>
          <t>How many customers do you anticipate adding in year 2?</t>
        </r>
      </text>
    </comment>
    <comment ref="J9" authorId="0" shapeId="0">
      <text>
        <r>
          <rPr>
            <b/>
            <sz val="9"/>
            <color indexed="81"/>
            <rFont val="Tahoma"/>
            <family val="2"/>
          </rPr>
          <t>How many customers do you anticipate adding in year 3?</t>
        </r>
      </text>
    </comment>
    <comment ref="K9" authorId="0" shapeId="0">
      <text>
        <r>
          <rPr>
            <b/>
            <sz val="9"/>
            <color indexed="81"/>
            <rFont val="Tahoma"/>
            <family val="2"/>
          </rPr>
          <t>How many customers do you anticipate adding in year 4?</t>
        </r>
      </text>
    </comment>
    <comment ref="G12" authorId="0" shapeId="0">
      <text>
        <r>
          <rPr>
            <b/>
            <sz val="9"/>
            <color indexed="81"/>
            <rFont val="Tahoma"/>
            <family val="2"/>
          </rPr>
          <t>Given your customer add assumptions, what sales and marketing costs will you have, in year 1?</t>
        </r>
      </text>
    </comment>
    <comment ref="H12" authorId="0" shapeId="0">
      <text>
        <r>
          <rPr>
            <b/>
            <sz val="9"/>
            <color indexed="81"/>
            <rFont val="Tahoma"/>
            <family val="2"/>
          </rPr>
          <t>Given your customer add assumptions, what sales and marketing costs will you have, in year 2?</t>
        </r>
      </text>
    </comment>
    <comment ref="J12" authorId="0" shapeId="0">
      <text>
        <r>
          <rPr>
            <b/>
            <sz val="9"/>
            <color indexed="81"/>
            <rFont val="Tahoma"/>
            <family val="2"/>
          </rPr>
          <t>Given your customer add assumptions, what sales and marketing costs will you have, in year 1?</t>
        </r>
      </text>
    </comment>
    <comment ref="K12" authorId="0" shapeId="0">
      <text>
        <r>
          <rPr>
            <b/>
            <sz val="9"/>
            <color indexed="81"/>
            <rFont val="Tahoma"/>
            <family val="2"/>
          </rPr>
          <t>Given your customer add assumptions, what sales and marketing costs will you have, in year 1?</t>
        </r>
      </text>
    </comment>
    <comment ref="C13" authorId="0" shapeId="0">
      <text>
        <r>
          <rPr>
            <b/>
            <sz val="9"/>
            <color indexed="81"/>
            <rFont val="Tahoma"/>
            <family val="2"/>
          </rPr>
          <t>For new deals, what do you expect to charge in terms of upfront implementation fees?</t>
        </r>
      </text>
    </comment>
    <comment ref="C14" authorId="0" shapeId="0">
      <text>
        <r>
          <rPr>
            <b/>
            <sz val="9"/>
            <color indexed="81"/>
            <rFont val="Tahoma"/>
            <family val="2"/>
          </rPr>
          <t>For new deals, what do you expect to charge in terms of ongoing project fees, per year?</t>
        </r>
      </text>
    </comment>
    <comment ref="C15" authorId="0" shapeId="0">
      <text>
        <r>
          <rPr>
            <b/>
            <sz val="9"/>
            <color indexed="81"/>
            <rFont val="Tahoma"/>
            <family val="2"/>
          </rPr>
          <t>For deals, what do you expect to charge for your own IP, per user per month?</t>
        </r>
      </text>
    </comment>
    <comment ref="G15" authorId="0" shapeId="0">
      <text>
        <r>
          <rPr>
            <b/>
            <sz val="9"/>
            <color indexed="81"/>
            <rFont val="Tahoma"/>
            <family val="2"/>
          </rPr>
          <t>Given your customer add assumptions above, what incremental fixed investments will you have to make, in year 1?</t>
        </r>
      </text>
    </comment>
    <comment ref="H15" authorId="0" shapeId="0">
      <text>
        <r>
          <rPr>
            <b/>
            <sz val="9"/>
            <color indexed="81"/>
            <rFont val="Tahoma"/>
            <family val="2"/>
          </rPr>
          <t>Given your customer add assumptions above, what incremental fixed investments will you have to make, in year 2?</t>
        </r>
      </text>
    </comment>
    <comment ref="J15" authorId="0" shapeId="0">
      <text>
        <r>
          <rPr>
            <b/>
            <sz val="9"/>
            <color indexed="81"/>
            <rFont val="Tahoma"/>
            <family val="2"/>
          </rPr>
          <t>Given your customer add assumptions above, what incremental fixed investments will you have to make, in year 3?</t>
        </r>
      </text>
    </comment>
    <comment ref="K15" authorId="0" shapeId="0">
      <text>
        <r>
          <rPr>
            <b/>
            <sz val="9"/>
            <color indexed="81"/>
            <rFont val="Tahoma"/>
            <family val="2"/>
          </rPr>
          <t>Given your customer add assumptions above, what incremental fixed investments will you have to make, in year 4?</t>
        </r>
      </text>
    </comment>
    <comment ref="C16" authorId="0" shapeId="0">
      <text>
        <r>
          <rPr>
            <b/>
            <sz val="9"/>
            <color indexed="81"/>
            <rFont val="Tahoma"/>
            <family val="2"/>
          </rPr>
          <t>When you provide a managed service, what will you charge, per user per month?</t>
        </r>
      </text>
    </comment>
    <comment ref="F18" authorId="0" shapeId="0">
      <text>
        <r>
          <rPr>
            <b/>
            <sz val="9"/>
            <color indexed="81"/>
            <rFont val="Tahoma"/>
            <family val="2"/>
          </rPr>
          <t>What portion of your new deals will purchase your managed service?</t>
        </r>
      </text>
    </comment>
    <comment ref="C20" authorId="0" shapeId="0">
      <text>
        <r>
          <rPr>
            <b/>
            <sz val="9"/>
            <color indexed="81"/>
            <rFont val="Tahoma"/>
            <family val="2"/>
          </rPr>
          <t>What is the expected ongoing margin to you from Microsoft for Office 365, if acquired under the CSP model?</t>
        </r>
      </text>
    </comment>
    <comment ref="K20" authorId="0" shapeId="0">
      <text>
        <r>
          <rPr>
            <b/>
            <sz val="9"/>
            <color indexed="81"/>
            <rFont val="Tahoma"/>
            <family val="2"/>
          </rPr>
          <t>From a valuation perspective, what do you consider an appropriate multiplier for recurring margin?</t>
        </r>
      </text>
    </comment>
    <comment ref="C21" authorId="0" shapeId="0">
      <text>
        <r>
          <rPr>
            <b/>
            <sz val="9"/>
            <color indexed="81"/>
            <rFont val="Tahoma"/>
            <family val="2"/>
          </rPr>
          <t>What is your expected gross margin on project services?</t>
        </r>
      </text>
    </comment>
    <comment ref="F21" authorId="0" shapeId="0">
      <text>
        <r>
          <rPr>
            <b/>
            <sz val="9"/>
            <color indexed="81"/>
            <rFont val="Tahoma"/>
            <family val="2"/>
          </rPr>
          <t>What portion of your new deals will have your own IP?</t>
        </r>
      </text>
    </comment>
    <comment ref="K21" authorId="0" shapeId="0">
      <text>
        <r>
          <rPr>
            <b/>
            <sz val="9"/>
            <color indexed="81"/>
            <rFont val="Tahoma"/>
            <family val="2"/>
          </rPr>
          <t>From a valuation perspective, what do you consider an appropriate multiplier for non-recurring margin?</t>
        </r>
      </text>
    </comment>
    <comment ref="C22" authorId="0" shapeId="0">
      <text>
        <r>
          <rPr>
            <b/>
            <sz val="9"/>
            <color indexed="81"/>
            <rFont val="Tahoma"/>
            <family val="2"/>
          </rPr>
          <t>What is your expected gross margin on managed services?</t>
        </r>
      </text>
    </comment>
    <comment ref="C23" authorId="0" shapeId="0">
      <text>
        <r>
          <rPr>
            <b/>
            <sz val="9"/>
            <color indexed="81"/>
            <rFont val="Tahoma"/>
            <family val="2"/>
          </rPr>
          <t>What is your expected gross margin on any of your own IP that you sell?</t>
        </r>
      </text>
    </comment>
    <comment ref="G26" authorId="0" shapeId="0">
      <text>
        <r>
          <rPr>
            <b/>
            <sz val="9"/>
            <color indexed="81"/>
            <rFont val="Tahoma"/>
            <family val="2"/>
          </rPr>
          <t>What is the average fully loaded annual cost to you of a sales &amp; marketing resource?</t>
        </r>
      </text>
    </comment>
    <comment ref="C27" authorId="0" shapeId="0">
      <text>
        <r>
          <rPr>
            <b/>
            <sz val="9"/>
            <color indexed="81"/>
            <rFont val="Tahoma"/>
            <family val="2"/>
          </rPr>
          <t>What is the average fully loaded annual cost to you of a project services delivery resource?</t>
        </r>
      </text>
    </comment>
    <comment ref="C28" authorId="0" shapeId="0">
      <text>
        <r>
          <rPr>
            <b/>
            <sz val="9"/>
            <color indexed="81"/>
            <rFont val="Tahoma"/>
            <family val="2"/>
          </rPr>
          <t>What is the average fully loaded annual cost to you of a managed services delivery resource?</t>
        </r>
      </text>
    </comment>
    <comment ref="C84" authorId="0" shapeId="0">
      <text>
        <r>
          <rPr>
            <b/>
            <sz val="9"/>
            <color indexed="81"/>
            <rFont val="Tahoma"/>
            <family val="2"/>
          </rPr>
          <t>What will your average deal size be, in terms of overall 
users?</t>
        </r>
      </text>
    </comment>
    <comment ref="G90" authorId="0" shapeId="0">
      <text>
        <r>
          <rPr>
            <b/>
            <sz val="9"/>
            <color indexed="81"/>
            <rFont val="Tahoma"/>
            <family val="2"/>
          </rPr>
          <t>Given your customer add assumptions, what incremental marketing costs will you have, in year 1?</t>
        </r>
      </text>
    </comment>
    <comment ref="I90" authorId="0" shapeId="0">
      <text>
        <r>
          <rPr>
            <b/>
            <sz val="9"/>
            <color indexed="81"/>
            <rFont val="Tahoma"/>
            <family val="2"/>
          </rPr>
          <t>Given your customer add assumptions, what incremental marketing costs will you have, in year 2?</t>
        </r>
      </text>
    </comment>
    <comment ref="J90" authorId="0" shapeId="0">
      <text>
        <r>
          <rPr>
            <b/>
            <sz val="9"/>
            <color indexed="81"/>
            <rFont val="Tahoma"/>
            <family val="2"/>
          </rPr>
          <t>Given your customer add assumptions, what incremental marketing costs will you have, in year 3?</t>
        </r>
      </text>
    </comment>
    <comment ref="K90" authorId="0" shapeId="0">
      <text>
        <r>
          <rPr>
            <b/>
            <sz val="9"/>
            <color indexed="81"/>
            <rFont val="Tahoma"/>
            <family val="2"/>
          </rPr>
          <t>Given your customer add assumptions, what incremental marketing costs will you have, in year 4?</t>
        </r>
      </text>
    </comment>
    <comment ref="C94" authorId="0" shapeId="0">
      <text>
        <r>
          <rPr>
            <b/>
            <sz val="9"/>
            <color indexed="81"/>
            <rFont val="Tahoma"/>
            <family val="2"/>
          </rPr>
          <t>When you sell Office 365, what will you charge to migrate each mailbox, in addition to the project fees on the left, if anything?</t>
        </r>
      </text>
    </comment>
    <comment ref="C96" authorId="0" shapeId="0">
      <text>
        <r>
          <rPr>
            <b/>
            <sz val="9"/>
            <color indexed="81"/>
            <rFont val="Tahoma"/>
            <family val="2"/>
          </rPr>
          <t>When you sell Office 365, what will it cost you to migrate each mailbox, if not already included in the Upfront Project Services Fees to the left?</t>
        </r>
      </text>
    </comment>
    <comment ref="D100" authorId="0" shapeId="0">
      <text>
        <r>
          <rPr>
            <b/>
            <sz val="9"/>
            <color indexed="81"/>
            <rFont val="Tahoma"/>
            <family val="2"/>
          </rPr>
          <t>What is the retail price to the customer for Office 365, per user per month?</t>
        </r>
      </text>
    </comment>
    <comment ref="C104" authorId="0" shapeId="0">
      <text>
        <r>
          <rPr>
            <b/>
            <sz val="9"/>
            <color indexed="81"/>
            <rFont val="Tahoma"/>
            <family val="2"/>
          </rPr>
          <t>What is the expected ongoing margin to you from Microsoft on any Azure consumption you drive?</t>
        </r>
      </text>
    </comment>
    <comment ref="C105" authorId="0" shapeId="0">
      <text>
        <r>
          <rPr>
            <b/>
            <sz val="9"/>
            <color indexed="81"/>
            <rFont val="Tahoma"/>
            <family val="2"/>
          </rPr>
          <t>What is the expected ongoing margin to you from Microsoft for Office 365, if acquired under the Open model?</t>
        </r>
      </text>
    </comment>
    <comment ref="C108" authorId="0" shapeId="0">
      <text>
        <r>
          <rPr>
            <b/>
            <sz val="9"/>
            <color indexed="81"/>
            <rFont val="Tahoma"/>
            <family val="2"/>
          </rPr>
          <t>For new deals, what do you expect to drive in terms of Azure consumption, per year?</t>
        </r>
      </text>
    </comment>
  </commentList>
</comments>
</file>

<file path=xl/comments2.xml><?xml version="1.0" encoding="utf-8"?>
<comments xmlns="http://schemas.openxmlformats.org/spreadsheetml/2006/main">
  <authors>
    <author>Dana Willmer</author>
  </authors>
  <commentList>
    <comment ref="E36" authorId="0" shapeId="0">
      <text>
        <r>
          <rPr>
            <b/>
            <sz val="9"/>
            <color indexed="81"/>
            <rFont val="Tahoma"/>
            <family val="2"/>
          </rPr>
          <t>This number is a calculated value, based on other data entered. It may be changed, but with caution.</t>
        </r>
      </text>
    </comment>
    <comment ref="E37" authorId="0" shapeId="0">
      <text>
        <r>
          <rPr>
            <b/>
            <sz val="9"/>
            <color indexed="81"/>
            <rFont val="Tahoma"/>
            <family val="2"/>
          </rPr>
          <t>This number is a calculated value, based on other data entered. It may be changed, but with caution.</t>
        </r>
      </text>
    </comment>
  </commentList>
</comments>
</file>

<file path=xl/comments3.xml><?xml version="1.0" encoding="utf-8"?>
<comments xmlns="http://schemas.openxmlformats.org/spreadsheetml/2006/main">
  <authors>
    <author>Dana Willmer</author>
  </authors>
  <commentList>
    <comment ref="G4" authorId="0" shapeId="0">
      <text>
        <r>
          <rPr>
            <b/>
            <sz val="9"/>
            <color indexed="81"/>
            <rFont val="Tahoma"/>
            <family val="2"/>
          </rPr>
          <t>Given your current operating structure, what incremental G&amp;A costs (or cost reductions) do you anticipate in year 1, if any? Adjust this variable only if row 78 in the P&amp;L Shift tab seems inappropriate.</t>
        </r>
      </text>
    </comment>
    <comment ref="H4" authorId="0" shapeId="0">
      <text>
        <r>
          <rPr>
            <b/>
            <sz val="9"/>
            <color indexed="81"/>
            <rFont val="Tahoma"/>
            <family val="2"/>
          </rPr>
          <t>Given your current operating structure, what incremental G&amp;A costs (or cost reductions) do you anticipate in year 2, if any? Adjust this variable only if row 78 in the P&amp;L Shift tab seems inappropriate.</t>
        </r>
      </text>
    </comment>
    <comment ref="I4" authorId="0" shapeId="0">
      <text>
        <r>
          <rPr>
            <b/>
            <sz val="9"/>
            <color indexed="81"/>
            <rFont val="Tahoma"/>
            <family val="2"/>
          </rPr>
          <t>Given your current operating structure, what incremental G&amp;A costs (or cost reductions) do you anticipate in year 3, if any? Adjust this variable only if row 78 in the P&amp;L Shift tab seems inappropriate.</t>
        </r>
      </text>
    </comment>
    <comment ref="J4" authorId="0" shapeId="0">
      <text>
        <r>
          <rPr>
            <b/>
            <sz val="9"/>
            <color indexed="81"/>
            <rFont val="Tahoma"/>
            <family val="2"/>
          </rPr>
          <t>Given your current operating structure, what incremental G&amp;A costs (or cost reductions) do you anticipate in year 4, if any? Adjust this variable only if row 78 in the P&amp;L Shift tab seems inappropriate.</t>
        </r>
      </text>
    </comment>
    <comment ref="C5" authorId="0" shapeId="0">
      <text>
        <r>
          <rPr>
            <b/>
            <sz val="9"/>
            <color indexed="81"/>
            <rFont val="Tahoma"/>
            <family val="2"/>
          </rPr>
          <t>For every incremental new customer added, what will be the direct sales cost?</t>
        </r>
      </text>
    </comment>
    <comment ref="C6" authorId="0" shapeId="0">
      <text>
        <r>
          <rPr>
            <b/>
            <sz val="9"/>
            <color indexed="81"/>
            <rFont val="Tahoma"/>
            <family val="2"/>
          </rPr>
          <t>For every O365 seat you sell, what will be the direct sales cost?</t>
        </r>
      </text>
    </comment>
    <comment ref="C7" authorId="0" shapeId="0">
      <text>
        <r>
          <rPr>
            <b/>
            <sz val="9"/>
            <color indexed="81"/>
            <rFont val="Tahoma"/>
            <family val="2"/>
          </rPr>
          <t>For every customer subscribing to Dynamics, your own IP, O365, and/or Managed Services, what will be the ongoing annual sales cost?</t>
        </r>
      </text>
    </comment>
    <comment ref="G9" authorId="0" shapeId="0">
      <text>
        <r>
          <rPr>
            <b/>
            <sz val="9"/>
            <color indexed="81"/>
            <rFont val="Tahoma"/>
            <family val="2"/>
          </rPr>
          <t>For your subscription customer base overall, what will be the annual chrun rate? This must be expressed as a positive number (eg churn of 10% is 10%, not -10%)</t>
        </r>
      </text>
    </comment>
    <comment ref="C11" authorId="0" shapeId="0">
      <text>
        <r>
          <rPr>
            <b/>
            <sz val="9"/>
            <color indexed="81"/>
            <rFont val="Tahoma"/>
            <family val="2"/>
          </rPr>
          <t>For every incremental new customer added, what will be the direct marketing cost?</t>
        </r>
      </text>
    </comment>
    <comment ref="C12" authorId="0" shapeId="0">
      <text>
        <r>
          <rPr>
            <b/>
            <sz val="9"/>
            <color indexed="81"/>
            <rFont val="Tahoma"/>
            <family val="2"/>
          </rPr>
          <t>For every O365 seat you sell, what will be the direct marketing cost?</t>
        </r>
      </text>
    </comment>
    <comment ref="C13" authorId="0" shapeId="0">
      <text>
        <r>
          <rPr>
            <b/>
            <sz val="9"/>
            <color indexed="81"/>
            <rFont val="Tahoma"/>
            <family val="2"/>
          </rPr>
          <t>For every customer subscribing to Dynamics, your own IP, O365, and/or Managed Services, what will be the ongoing annual marketing cost?</t>
        </r>
      </text>
    </comment>
    <comment ref="C38" authorId="0" shapeId="0">
      <text>
        <r>
          <rPr>
            <b/>
            <sz val="9"/>
            <color indexed="81"/>
            <rFont val="Tahoma"/>
            <family val="2"/>
          </rPr>
          <t>Can be either a positive or negative number, depending on anticipated impact.
This will decrease or increase all revenue and cost flows associated with the traditional business, including operating expenses.</t>
        </r>
      </text>
    </comment>
    <comment ref="C39" authorId="0" shapeId="0">
      <text>
        <r>
          <rPr>
            <b/>
            <sz val="9"/>
            <color indexed="81"/>
            <rFont val="Tahoma"/>
            <family val="2"/>
          </rPr>
          <t>Can be either a positive or negative number, depending on anticipated impact</t>
        </r>
      </text>
    </comment>
    <comment ref="G41" authorId="0" shapeId="0">
      <text>
        <r>
          <rPr>
            <b/>
            <sz val="9"/>
            <color indexed="81"/>
            <rFont val="Tahoma"/>
            <family val="2"/>
          </rPr>
          <t>For your O365 customer base only, what will be the annual chrun rate? This must be expressed as a positive number (eg churn of 10% is 10%, not -10%)</t>
        </r>
      </text>
    </comment>
  </commentList>
</comments>
</file>

<file path=xl/sharedStrings.xml><?xml version="1.0" encoding="utf-8"?>
<sst xmlns="http://schemas.openxmlformats.org/spreadsheetml/2006/main" count="575" uniqueCount="423">
  <si>
    <t>Total Revenues</t>
  </si>
  <si>
    <t>Total Expenses</t>
  </si>
  <si>
    <t>Operating Margin</t>
  </si>
  <si>
    <t>Year 2</t>
  </si>
  <si>
    <t>Year 3</t>
  </si>
  <si>
    <t>Year 4</t>
  </si>
  <si>
    <t>Year 1</t>
  </si>
  <si>
    <t>% of revenue</t>
  </si>
  <si>
    <t>per annum</t>
  </si>
  <si>
    <t>per user per month</t>
  </si>
  <si>
    <t>per new customer add</t>
  </si>
  <si>
    <t>year 2</t>
  </si>
  <si>
    <t>year 3</t>
  </si>
  <si>
    <t>year 4</t>
  </si>
  <si>
    <t>Operating Expenses</t>
  </si>
  <si>
    <t>total operating expenses</t>
  </si>
  <si>
    <t>Year</t>
  </si>
  <si>
    <t>Month</t>
  </si>
  <si>
    <t>Trailing</t>
  </si>
  <si>
    <t>Year 0</t>
  </si>
  <si>
    <t>n/a</t>
  </si>
  <si>
    <t>Ongoing Sales Costs</t>
  </si>
  <si>
    <t>Ongoing Marketing Costs</t>
  </si>
  <si>
    <t>R&amp;D Costs</t>
  </si>
  <si>
    <t>year 1</t>
  </si>
  <si>
    <t>Monthly Cumulative Cash Flow</t>
  </si>
  <si>
    <t>Cloud Migration Fees</t>
  </si>
  <si>
    <t>Cloud Migration Costs</t>
  </si>
  <si>
    <t>per customer, per year</t>
  </si>
  <si>
    <t>Starting</t>
  </si>
  <si>
    <t>Ending</t>
  </si>
  <si>
    <t>total</t>
  </si>
  <si>
    <t>COGS</t>
  </si>
  <si>
    <t>OPEX</t>
  </si>
  <si>
    <t>Cloud Services</t>
  </si>
  <si>
    <t>Software Licenses (Own IP)</t>
  </si>
  <si>
    <t>O365-Related Migration Fees</t>
  </si>
  <si>
    <t>O365-Related Migration Costs</t>
  </si>
  <si>
    <t>3rd. Party Software</t>
  </si>
  <si>
    <t>Margin Structure</t>
  </si>
  <si>
    <t>p.a.</t>
  </si>
  <si>
    <t>users</t>
  </si>
  <si>
    <t>Office 365 Pricing</t>
  </si>
  <si>
    <t>Incremental Sales Fixed Costs</t>
  </si>
  <si>
    <t>Incremental Marketing Fixed Costs</t>
  </si>
  <si>
    <t>average customer</t>
  </si>
  <si>
    <t>O365 Attach Rate</t>
  </si>
  <si>
    <t>average Cloud FTE's loaded cost (professional services)</t>
  </si>
  <si>
    <t>average Cloud FTE's loaded cost (managed services)</t>
  </si>
  <si>
    <t>Monthly Cash Flow (Cloud)</t>
  </si>
  <si>
    <t>G &amp; A (inlcuding admin salaries)</t>
  </si>
  <si>
    <t>managed services revenue per user per month</t>
  </si>
  <si>
    <t>professional services revenue per customer per year</t>
  </si>
  <si>
    <t>Cloud Professional Services</t>
  </si>
  <si>
    <t>gross margin</t>
  </si>
  <si>
    <t>Cloud</t>
  </si>
  <si>
    <t>Incremental G&amp;A Costs (Cost Reductions)</t>
  </si>
  <si>
    <t>revenue</t>
  </si>
  <si>
    <t>Other</t>
  </si>
  <si>
    <t>Dynamics Perpetual Licenses</t>
  </si>
  <si>
    <t>Traditional Software</t>
  </si>
  <si>
    <t>Traditional Services</t>
  </si>
  <si>
    <t>Cloud Software</t>
  </si>
  <si>
    <t>Own IP Subscriptions</t>
  </si>
  <si>
    <t>Dynamics Subscriptions</t>
  </si>
  <si>
    <t>3rd. Party Subscriptions</t>
  </si>
  <si>
    <t>Hardware, etc.</t>
  </si>
  <si>
    <t>COGS (Other)</t>
  </si>
  <si>
    <t>Traditional Managed Services or Help Desk</t>
  </si>
  <si>
    <t>Traditional Professional Services</t>
  </si>
  <si>
    <t>Managed Services or Help Desk</t>
  </si>
  <si>
    <t>Other (Hardware, etc.)</t>
  </si>
  <si>
    <t>O365  Fee Structure</t>
  </si>
  <si>
    <t>Cloud Migration Fees (O365)</t>
  </si>
  <si>
    <t>New Customer Subscription Implementation Costs</t>
  </si>
  <si>
    <t>New Customer Adds (year 1)</t>
  </si>
  <si>
    <t>All Subscription Customers (year 2 onwards)</t>
  </si>
  <si>
    <t>New Customers with O365</t>
  </si>
  <si>
    <t>Traditional P&amp;L Impact</t>
  </si>
  <si>
    <t>Traditional Software &amp; Services</t>
  </si>
  <si>
    <t>total cloud new customers added</t>
  </si>
  <si>
    <t>total cloud customers supported</t>
  </si>
  <si>
    <t>total cloud users supported</t>
  </si>
  <si>
    <t>Hardware</t>
  </si>
  <si>
    <t>Services/Software Ratio (Traditional)</t>
  </si>
  <si>
    <t>Services/Software Ratio (Cloud)</t>
  </si>
  <si>
    <t>Services</t>
  </si>
  <si>
    <t>Software</t>
  </si>
  <si>
    <t>Slider Bar Calculations</t>
  </si>
  <si>
    <t>Managed Services Attach Rate</t>
  </si>
  <si>
    <t>Subscription Churn, per annum</t>
  </si>
  <si>
    <t>O365</t>
  </si>
  <si>
    <t>Managed Services</t>
  </si>
  <si>
    <t>Traditional Sales Costs (yr 0)</t>
  </si>
  <si>
    <t>Traditional Sales Cost Reduction</t>
  </si>
  <si>
    <t>Traditional Marketing Costs (yr 0)</t>
  </si>
  <si>
    <t>Traditional Marketing Costs Reduction</t>
  </si>
  <si>
    <t>G&amp;A Cost Reduction</t>
  </si>
  <si>
    <t>Own IP License Fee</t>
  </si>
  <si>
    <t>Variable Costs</t>
  </si>
  <si>
    <t>per user, one time</t>
  </si>
  <si>
    <t>Incremental Customer Add Direct Sales Costs</t>
  </si>
  <si>
    <t>Incremental Customer Add Direct Marketing Costs</t>
  </si>
  <si>
    <t>average yr 1 revenue</t>
  </si>
  <si>
    <t xml:space="preserve"> </t>
  </si>
  <si>
    <t>Non-Recurring</t>
  </si>
  <si>
    <t>Recurring</t>
  </si>
  <si>
    <t>OM</t>
  </si>
  <si>
    <t xml:space="preserve">O365 Adds (year 1) </t>
  </si>
  <si>
    <t>per O365 seat add</t>
  </si>
  <si>
    <t>Total Subscription Customers</t>
  </si>
  <si>
    <t>Valuation</t>
  </si>
  <si>
    <t>IRR</t>
  </si>
  <si>
    <t>O365 Churn, per annum</t>
  </si>
  <si>
    <t>IP Attach Rate</t>
  </si>
  <si>
    <t>To-Partner Margin Structure</t>
  </si>
  <si>
    <t>Azure</t>
  </si>
  <si>
    <t>New Customer Adds</t>
  </si>
  <si>
    <t>Total New Customers</t>
  </si>
  <si>
    <t>Total New Users</t>
  </si>
  <si>
    <t>Total New Customers with IP</t>
  </si>
  <si>
    <t>New Customer Implementation Revenue</t>
  </si>
  <si>
    <t>New Customer IP Revenue</t>
  </si>
  <si>
    <t>Total New Users with IP</t>
  </si>
  <si>
    <t>Total New Users with O365</t>
  </si>
  <si>
    <t>Total New Users with Managed Service</t>
  </si>
  <si>
    <t>Total New Customers with O365</t>
  </si>
  <si>
    <t>Total New Customers with Managed Service</t>
  </si>
  <si>
    <t>New Customer Managed Services Revenue</t>
  </si>
  <si>
    <t>New Customer Cloud Services Revenue</t>
  </si>
  <si>
    <t>New Customer Azure Revenue</t>
  </si>
  <si>
    <t>New Customer Implementation Costs</t>
  </si>
  <si>
    <t>New Customer IP Costs</t>
  </si>
  <si>
    <t>New Customer Managed Services Costs</t>
  </si>
  <si>
    <t>New Customer Cloud Services Costs</t>
  </si>
  <si>
    <t>New Customer Azure Costs</t>
  </si>
  <si>
    <t>Gross Margin (Managed Services)</t>
  </si>
  <si>
    <t>Azure Attach Rate</t>
  </si>
  <si>
    <t>Total New Customers with Azure</t>
  </si>
  <si>
    <t>Total New Users with Azure</t>
  </si>
  <si>
    <t>per customer per year</t>
  </si>
  <si>
    <t>Ongoing Services Attach Rate</t>
  </si>
  <si>
    <t>Total New Customers with Ongoing Cloud Service</t>
  </si>
  <si>
    <t>New Customer Ongoing Cloud Services Revenue</t>
  </si>
  <si>
    <t>New Customer Ongoing Cloud Services Costs</t>
  </si>
  <si>
    <t>Total New Users with Ongoing Cloud Service</t>
  </si>
  <si>
    <t>IP</t>
  </si>
  <si>
    <t>Project Services</t>
  </si>
  <si>
    <t>Anticipated Shareholder Value Created</t>
  </si>
  <si>
    <t>Professional Services</t>
  </si>
  <si>
    <t>Approximate Working Capital Required</t>
  </si>
  <si>
    <t>Yr 1 revenue</t>
  </si>
  <si>
    <t>Azure Consumption (per year)</t>
  </si>
  <si>
    <t>Revenue</t>
  </si>
  <si>
    <t>total FTE's deployed (professional services)</t>
  </si>
  <si>
    <t>total FTE's deployed (managed services)</t>
  </si>
  <si>
    <t>Contribution Margin</t>
  </si>
  <si>
    <t>Other Fixed Investments</t>
  </si>
  <si>
    <t>Customer Acquisition Costs</t>
  </si>
  <si>
    <t>Managed Services Fees</t>
  </si>
  <si>
    <t>Gross Margin (Project Services)</t>
  </si>
  <si>
    <t>Margin</t>
  </si>
  <si>
    <t>Anticipated Valuation Impact</t>
  </si>
  <si>
    <t>Upfront Project Services Fees</t>
  </si>
  <si>
    <t>Ongoing Project Services Fees</t>
  </si>
  <si>
    <t>P&amp;L Impact</t>
  </si>
  <si>
    <t>Overall Gross Margin</t>
  </si>
  <si>
    <t>O365 Advisor</t>
  </si>
  <si>
    <t>O365 Open</t>
  </si>
  <si>
    <t>O365 CSP (Direct)</t>
  </si>
  <si>
    <t>O365 CSP (Channel Incentives)</t>
  </si>
  <si>
    <t>Anticipated IP Gross Margin</t>
  </si>
  <si>
    <t>Total New Customer Adds with Azure</t>
  </si>
  <si>
    <t>Recurring Multiplier</t>
  </si>
  <si>
    <t>Non-Recurring Multiplier</t>
  </si>
  <si>
    <t>Contribution Margin ($)</t>
  </si>
  <si>
    <t>Contribution Margin (%)</t>
  </si>
  <si>
    <t>Step 1 - Set Average Deal Size (Overall Users)</t>
  </si>
  <si>
    <t>CRM Attach Rate</t>
  </si>
  <si>
    <t>CRM Online</t>
  </si>
  <si>
    <t>Sales &amp; Marketing Personnel</t>
  </si>
  <si>
    <t>Step 9 - Set Office 365 Price to Customer</t>
  </si>
  <si>
    <t>Sales &amp; Marketing FTE's</t>
  </si>
  <si>
    <t>Sales &amp; Marketing</t>
  </si>
  <si>
    <t>Azure, Office 365, &amp; CRM Online Subscriptions</t>
  </si>
  <si>
    <t>Total New Users with CRM Online</t>
  </si>
  <si>
    <t>Total New Customers with CRM Online</t>
  </si>
  <si>
    <t>New Customer O365 Revenue</t>
  </si>
  <si>
    <t>New Customer CRM Online Revenue</t>
  </si>
  <si>
    <t>New Customer O365 Costs</t>
  </si>
  <si>
    <t>New Customer CRM Online Costs</t>
  </si>
  <si>
    <t>New Customer Azure, O365, &amp; CRM Online Revenue</t>
  </si>
  <si>
    <t>New Customer Azure, O365, &amp; CRM Online Costs</t>
  </si>
  <si>
    <t>Azure Margin &amp; Incentives</t>
  </si>
  <si>
    <t>Office 365 Margin &amp; Incentives</t>
  </si>
  <si>
    <t>CRM Online Margin &amp; Incentives</t>
  </si>
  <si>
    <t>Step 6 - Set Office 365 Mailbox Migration Fees</t>
  </si>
  <si>
    <t>Step 7 - Set Office 365 Mailbox Migration Costs</t>
  </si>
  <si>
    <t>CRM Financial Model</t>
  </si>
  <si>
    <t>Office 365</t>
  </si>
  <si>
    <t>Virtualization</t>
  </si>
  <si>
    <t>Potential Project Services</t>
  </si>
  <si>
    <t>Solution Analysis, Scope, &amp; Design</t>
  </si>
  <si>
    <t>Exchange &amp; Mailbox Migration</t>
  </si>
  <si>
    <t>Simple File Server Migration</t>
  </si>
  <si>
    <t>Custom Application Development</t>
  </si>
  <si>
    <t>Systems Integration</t>
  </si>
  <si>
    <t>Data Architecture Design</t>
  </si>
  <si>
    <t>Data Center Migration</t>
  </si>
  <si>
    <t>Data Warehousing Deployment</t>
  </si>
  <si>
    <t>Data Cube Construction</t>
  </si>
  <si>
    <t>Remediation</t>
  </si>
  <si>
    <t>Backup &amp; Storage Deployment</t>
  </si>
  <si>
    <t>Disaster Recovery Deployment</t>
  </si>
  <si>
    <t>Workflow Creation in SharePoint</t>
  </si>
  <si>
    <t>Database Infrastructure Development</t>
  </si>
  <si>
    <t>Proof of Concept</t>
  </si>
  <si>
    <t>User Experience Consulting</t>
  </si>
  <si>
    <t>Virtualization Migration &amp; Deployment</t>
  </si>
  <si>
    <t>Yammer</t>
  </si>
  <si>
    <t>Training</t>
  </si>
  <si>
    <t>Potential Managed Services</t>
  </si>
  <si>
    <t>Proactive Backups &amp; Anti-Virus Monitoring</t>
  </si>
  <si>
    <t>Update &amp; Patch Management</t>
  </si>
  <si>
    <t>User Rights &amp; Account Management</t>
  </si>
  <si>
    <t>Domain Management</t>
  </si>
  <si>
    <t>Single Sign-On Management</t>
  </si>
  <si>
    <t>New Accounts Added &amp; Removed</t>
  </si>
  <si>
    <t>Managed Access to Email Groups</t>
  </si>
  <si>
    <t>Performance and Application Troubleshooting</t>
  </si>
  <si>
    <t>Desktop &amp; Device Management &amp; Support</t>
  </si>
  <si>
    <t>Reports &amp; View Adjustments</t>
  </si>
  <si>
    <t>Hybrid Environment Support (Basic Infrastructure)</t>
  </si>
  <si>
    <t>Security Management &amp; Identity Protection</t>
  </si>
  <si>
    <t>Office Client Connectivity</t>
  </si>
  <si>
    <t>Microsoft support (interface between MSFT &amp; customer)</t>
  </si>
  <si>
    <t>Web defense (restricting url’s, phishing malware, spam)</t>
  </si>
  <si>
    <t>VoIP Maintenance</t>
  </si>
  <si>
    <t>Regulatory Compliance via O365 Infrastructure</t>
  </si>
  <si>
    <t>Critical Response Support</t>
  </si>
  <si>
    <t>Virtual Machine Management &amp; Upgrading</t>
  </si>
  <si>
    <t>Application Lifecycle Management &amp; Support (design, development, testing, production, errors corrections, updates, new versions)</t>
  </si>
  <si>
    <t>Data Center Performance Monitoring &amp; Optimization</t>
  </si>
  <si>
    <t>Virtual Database Administration</t>
  </si>
  <si>
    <t>Workload Performance Monitoring</t>
  </si>
  <si>
    <t>Network Monitoring (including disk size &amp; comms monitoring)</t>
  </si>
  <si>
    <t>Azure Consumption Monitoring &amp; Optimization</t>
  </si>
  <si>
    <t>Disaster Recovery Monitoring &amp; Testing</t>
  </si>
  <si>
    <t>Hosted Line Of Business Applications</t>
  </si>
  <si>
    <t>Virtualization Support &amp; Efficiency Optimization</t>
  </si>
  <si>
    <t>3rd. Party Application Management</t>
  </si>
  <si>
    <t>Active Directory Federation &amp; Management</t>
  </si>
  <si>
    <t>Potential Intellectual Property</t>
  </si>
  <si>
    <t>Turnkey BI Portals</t>
  </si>
  <si>
    <t>Automated Consumption Monitoring &amp; Reporting</t>
  </si>
  <si>
    <t>Customer Self-Serve Portals</t>
  </si>
  <si>
    <t>Automated Data Migration &amp; Integration</t>
  </si>
  <si>
    <t>Automated Load Balancing</t>
  </si>
  <si>
    <t>Automated Monitoring, Alerting, &amp; Logging</t>
  </si>
  <si>
    <t>Middleware for Hybrid Synchronization</t>
  </si>
  <si>
    <t>Vertical Solution Subscriptions</t>
  </si>
  <si>
    <t>Industry-specific Mobile Apps</t>
  </si>
  <si>
    <t>Industry-specific Workflows</t>
  </si>
  <si>
    <t>Automated Backups &amp; Disaster Recovery</t>
  </si>
  <si>
    <t>Automated O365 Telemetry (Availability &amp; Performance)</t>
  </si>
  <si>
    <t>Automated Disaster Recovery Testing</t>
  </si>
  <si>
    <t>Office Connectivity &amp; Other Plug-Ins &amp; Add-ons</t>
  </si>
  <si>
    <t>External Portals for End Customer Information</t>
  </si>
  <si>
    <t>Pre-Configured Dashboards</t>
  </si>
  <si>
    <t>Online Training &amp; Self-paced Learning</t>
  </si>
  <si>
    <t>Model Variable</t>
  </si>
  <si>
    <t>Variable Definition</t>
  </si>
  <si>
    <t>Typical Range</t>
  </si>
  <si>
    <t>Average Deal Size (CRM Online Users)</t>
  </si>
  <si>
    <t>The average size of each new deal, in terms of CRM online users.</t>
  </si>
  <si>
    <t>Will vary widely depending on the customer segment targeted. Could be anywhere from as few as 10 users or less, to several thousand.</t>
  </si>
  <si>
    <t>The average amount you expect to charge the customer in upfront implementation fees for every new deal you do.</t>
  </si>
  <si>
    <t>Will vary widely depending on local market circumstances, as well as size, scope, and complexity of implementation. Simple migrations to O365 can be as low as $5k, while complex migrations to Azure can be as high as $500k.</t>
  </si>
  <si>
    <r>
      <t>The average amount you expect to charge the customer every year for any ongoing project work (</t>
    </r>
    <r>
      <rPr>
        <u/>
        <sz val="10"/>
        <color theme="1"/>
        <rFont val="Segoe UI"/>
        <family val="2"/>
      </rPr>
      <t>excluding</t>
    </r>
    <r>
      <rPr>
        <sz val="10"/>
        <color theme="1"/>
        <rFont val="Segoe UI"/>
        <family val="2"/>
      </rPr>
      <t xml:space="preserve"> managed services).</t>
    </r>
  </si>
  <si>
    <r>
      <t xml:space="preserve">Will vary widely depending on the nature of the initial project, and whether a phased approach is taken. Research has shown that anywhere from 10% to 100% of initial project fees may be charged on an ongoing basis. Note that this is </t>
    </r>
    <r>
      <rPr>
        <u/>
        <sz val="10"/>
        <color theme="1"/>
        <rFont val="Segoe UI"/>
        <family val="2"/>
      </rPr>
      <t>not</t>
    </r>
    <r>
      <rPr>
        <sz val="10"/>
        <color theme="1"/>
        <rFont val="Segoe UI"/>
        <family val="2"/>
      </rPr>
      <t xml:space="preserve"> the same as managed services fees, which are contracted rather than project-based.</t>
    </r>
  </si>
  <si>
    <t>The average amount you expect to expect to drive in terms of Azure consumption, per year, for every new deal you do.</t>
  </si>
  <si>
    <t>Will vary widely depending on the size of the customer and what is being supported on Azure. Could be anywhere from a few thousand dollars per year (or less), to several hundred thousand.</t>
  </si>
  <si>
    <t>The average amount you expect to charge the customer (per user per month) for any of your own IP that you attach, bundle, or embed with O365 or CRM online.</t>
  </si>
  <si>
    <t>Will vary widely depending on the nature of the IP you develop, the market you operate in, and the IP’s utility to the customer. Could be as low as a few dollars a month, to several hundred.</t>
  </si>
  <si>
    <t>The average amount you expect to charge the customer for any managed services you provide.</t>
  </si>
  <si>
    <t>Will vary widely depending on the market you operate in, and the composition of your managed service offering. Could be as low as $10-$15 per user per month, to several thousand dollars per customer per year.</t>
  </si>
  <si>
    <t>The expected margin to you from any CRM online utilization you drive.</t>
  </si>
  <si>
    <t>Typically 10% - 20%</t>
  </si>
  <si>
    <t>The expected gross margin you will achieve any project services you deliver to the customer (this should be based on your historical project services gross margin, unless you anticipate it to change).</t>
  </si>
  <si>
    <t>Will vary depending on local market circumstances, and management effectiveness in managing utilization. Typically ranges anywhere from 10% to 40%.</t>
  </si>
  <si>
    <t>The expected gross margin you will achieve any managed services you deliver to the customer (this should be based on your historical managed services gross margin, unless you anticipate it to change, and will often be different from your project services gross margin).</t>
  </si>
  <si>
    <t>Will vary depending on local market circumstances, and management effectiveness in managing utilization. Typically ranges anywhere from 10% to 50%.</t>
  </si>
  <si>
    <t>Anticipated IP Margin</t>
  </si>
  <si>
    <t>The expected gross margin you will achieve any of your own IP that you deliver to the customer (this should be based on your historical IP gross margin, if available).</t>
  </si>
  <si>
    <t>Will vary depending on the development leverage gained from working with customers who fund the initial development, but can be as high as 70% to 90% in some cases.</t>
  </si>
  <si>
    <t>Project Services Resource Cost</t>
  </si>
  <si>
    <t>The average fully loaded annual cost to you of a project services delivery resource (salary, benefits, and bonuses).</t>
  </si>
  <si>
    <t>Will vary widely depending on the local economy, labor market circumstances, skillset needed, and degree of outsourcing. Could be anywhere from $20k to $150k per year.</t>
  </si>
  <si>
    <t>Managed Services Resource Cost</t>
  </si>
  <si>
    <t>The average fully loaded annual cost to you of a managed services delivery resource (salary, benefits, and bonuses).</t>
  </si>
  <si>
    <t>Will vary widely depending on the local economy, labor market circumstances, skillset needed, and degree of outsourcing. Typically, however, these resources are less costly than project services resources.</t>
  </si>
  <si>
    <t>The retail price to the customer of CRM online in your local market, per user per month.</t>
  </si>
  <si>
    <t>Will vary depending on local market pricing from Microsoft. Please refer to local Microsoft pricelist.</t>
  </si>
  <si>
    <t>Customer Adds</t>
  </si>
  <si>
    <t>The amount of new customers you will add in each of years 1 through 4 (note that these are additive, not cumulative)</t>
  </si>
  <si>
    <t>Will vary depending on how aggressive a Partner is in pursuing in pursuing the Cloud opportunity, and the customer segment targeted. Could be anywhere from 5-10 per year, to several hundred.</t>
  </si>
  <si>
    <t>Customer Acquisition &amp; Retention Costs</t>
  </si>
  <si>
    <t>Given your customer add assumptions for each year, the amount you will spend on sales and marketing costs in each of years 1 through 4.</t>
  </si>
  <si>
    <t>Will vary widely depending on market segment targeted, and pre-existing sales and marketing capabilities. As a rule of thumb and best practice, however, a Partner should conservatively assume a customer acquisition cost of 20%-25% of first year’s revenue.</t>
  </si>
  <si>
    <t>Given your Cloud offering and existing resource pool, the amount you will need to invest in training, R&amp;D, demand generation and other infrastructure in each of years 1 through 4.</t>
  </si>
  <si>
    <t>Will vary widely depending on whether a Partner “re-skills” an existing resource pool versus net new hiring, whether IP is developed and bundled into the Cloud offering, and what incremental marketing and sales infrastructure investments are needed to achieve the desired customer adds.</t>
  </si>
  <si>
    <t>The percentage of new customers and users added that you expect to subscribe to your managed service offering, mentioned above.</t>
  </si>
  <si>
    <t>Will vary widely depending on the composition of the managed service, the customer segment targeted, and the degree to which it is “bundled” into the Cloud offering. Could be literally anywhere from 0%-90% or higher.</t>
  </si>
  <si>
    <t>The percentage of new customers and users added that you expect to license your own IP, mentioned above.</t>
  </si>
  <si>
    <t>Will vary widely depending on the nature and utility of the IP, and the degree to which it is “bundled” into the Cloud offering. Could be literally anywhere from 0%-90% or higher.</t>
  </si>
  <si>
    <t>Customer Acquisition Resource Cost</t>
  </si>
  <si>
    <t>The average fully loaded annual cost to you for sales and marketing resources that result in customer acquisition (salary, benefits, and bonuses).</t>
  </si>
  <si>
    <t>Recurring Margin Multiplier</t>
  </si>
  <si>
    <t>From a valuation perspective, the amount a potential buyer would consider an appropriate multiplier for recurring margin in your local market (based on research, 5 is a conservative assumption, but change this assumption if you feel it is not representative of buyers in your local market).</t>
  </si>
  <si>
    <t>Typically 4-7</t>
  </si>
  <si>
    <t>Non-Recurring Margin Multiplier</t>
  </si>
  <si>
    <t>From a valuation perspective, the amount a potential buyer would consider an appropriate multiplier for non-recurring margin in your local market (based on research, 1.5 is a conservative assumption, but change this assumption if you feel it is not representative of buyers in your local market).</t>
  </si>
  <si>
    <t>Typically 1-3</t>
  </si>
  <si>
    <t>Power BI</t>
  </si>
  <si>
    <t>Collect Data &amp; Monitor Assets (IoT)</t>
  </si>
  <si>
    <t>Enterprise Web &amp; Mobile Apps</t>
  </si>
  <si>
    <t>Data Center Transformation</t>
  </si>
  <si>
    <t>Storage, Backup, &amp; Recovery</t>
  </si>
  <si>
    <t>Big Data &amp; Predictive Analytics</t>
  </si>
  <si>
    <t>Website Hosting</t>
  </si>
  <si>
    <t>$5,000 - $15,000</t>
  </si>
  <si>
    <t>$2,500 - $25,000</t>
  </si>
  <si>
    <t>$2,500 - $10,000</t>
  </si>
  <si>
    <t>$2,500 - $15,000</t>
  </si>
  <si>
    <t>$2,500 - $7,500</t>
  </si>
  <si>
    <t>$10,000 - $75,000</t>
  </si>
  <si>
    <t>$20,000 - $50,000</t>
  </si>
  <si>
    <t>Average Total Project Services Revenue Range</t>
  </si>
  <si>
    <t>$2,500 - $5,000</t>
  </si>
  <si>
    <t>$15,000 - $50,000</t>
  </si>
  <si>
    <t>$45,000 - $75,000</t>
  </si>
  <si>
    <t>$75,000 - $150,000</t>
  </si>
  <si>
    <t>$2,000 - $5,000</t>
  </si>
  <si>
    <t>Average Total Managed Services Revenue Range</t>
  </si>
  <si>
    <t>Reactive Help Desk Support (Office, Lync, Intune, CRM Online)</t>
  </si>
  <si>
    <t>Software Asset Management (licensing management &amp; optimization)</t>
  </si>
  <si>
    <t>Average Total Intellectual Property Revenue Range</t>
  </si>
  <si>
    <t>SharePoint-Based Vertical Workflows</t>
  </si>
  <si>
    <t>Function-specific Workflows (e.g. HR, Procurement)</t>
  </si>
  <si>
    <t>CRM Online Retail Price to Customer</t>
  </si>
  <si>
    <t>Hosting</t>
  </si>
  <si>
    <t>EDU</t>
  </si>
  <si>
    <t>$25,000 - $100,000</t>
  </si>
  <si>
    <t>Desktop Virtualization</t>
  </si>
  <si>
    <t>Mobile Device Connectivity &amp; Management</t>
  </si>
  <si>
    <t>e-Commerce functionality</t>
  </si>
  <si>
    <t>Step 1 - Set Average Deal Size (CRM Users)</t>
  </si>
  <si>
    <t>Step 2 - Set Deal Structure</t>
  </si>
  <si>
    <t>Step 3 - Set Margin Structure</t>
  </si>
  <si>
    <t>Step 4 - Set Delivery Resource Costs</t>
  </si>
  <si>
    <t>Step 5 - Set CRM Online Price to Customer</t>
  </si>
  <si>
    <t>Step 6 - Annual Set Customer Adds</t>
  </si>
  <si>
    <t>Step 7 - Set Customer Acquisition &amp; Retention Costs (Sales &amp; Marketing)</t>
  </si>
  <si>
    <t>Step 8 - Set Other Fixed Investments (R&amp;D, Training, Other Infrastructure, G&amp;A)</t>
  </si>
  <si>
    <t>Step 9 - Set Managed Services Attach Rate</t>
  </si>
  <si>
    <t>Step 10 - Set IP Attach Rate</t>
  </si>
  <si>
    <t>Step 11 - Set Customer Acquisition Resource Costs</t>
  </si>
  <si>
    <t>Step 12 - Set Margin Multiplier Assumptions</t>
  </si>
  <si>
    <t>Windows &amp; Devices</t>
  </si>
  <si>
    <t>Deployment Services</t>
  </si>
  <si>
    <t>Web-Based Management Tool Consolidation</t>
  </si>
  <si>
    <t>Performance Monitoring and Reporting</t>
  </si>
  <si>
    <t>Troubleshooting</t>
  </si>
  <si>
    <t>Configuration Management</t>
  </si>
  <si>
    <t>Reports and Dashboard Maintenance</t>
  </si>
  <si>
    <t>Anti-Virus Monitoring</t>
  </si>
  <si>
    <t>Help Desk Support</t>
  </si>
  <si>
    <t>Identity as a Service</t>
  </si>
  <si>
    <t xml:space="preserve">Cross Platform </t>
  </si>
  <si>
    <t>Microsoft Dynamics</t>
  </si>
  <si>
    <t>Identity/Access Management (EMS)</t>
  </si>
  <si>
    <t>Azure Remote App</t>
  </si>
  <si>
    <t>Cloud Voice Deployment &amp; Management (SMB)</t>
  </si>
  <si>
    <t>Cloud Voice Deployment &amp; Management (CA)</t>
  </si>
  <si>
    <t>Cloud Voice Deployment &amp; Management (Ent)</t>
  </si>
  <si>
    <t>CRM Online- Sales Automation</t>
  </si>
  <si>
    <t>CRM Online- Services Automation</t>
  </si>
  <si>
    <t>Dynamics AX</t>
  </si>
  <si>
    <t>$10,000 - $25,000</t>
  </si>
  <si>
    <t>$25,000 - $75,000</t>
  </si>
  <si>
    <t>$75,000 - $200,000</t>
  </si>
  <si>
    <t>$200,000-$1.5M</t>
  </si>
  <si>
    <t>Cloud Readiness Assessment</t>
  </si>
  <si>
    <t>Solution Configuration/Customization</t>
  </si>
  <si>
    <t>Solution Support &amp; Training</t>
  </si>
  <si>
    <t>Surface Hub Device</t>
  </si>
  <si>
    <t xml:space="preserve">Cloud Migration Planning </t>
  </si>
  <si>
    <t>Health Checks</t>
  </si>
  <si>
    <t>App Virtualization</t>
  </si>
  <si>
    <t>Communications Envision Workshop</t>
  </si>
  <si>
    <t>Network readiness assessment</t>
  </si>
  <si>
    <t>Bandwidth Planning</t>
  </si>
  <si>
    <t>Business Use Case Workshop</t>
  </si>
  <si>
    <t>Communications Architecture Design</t>
  </si>
  <si>
    <t>Adoption Services</t>
  </si>
  <si>
    <t>User Enablement</t>
  </si>
  <si>
    <t>Office Client Deployment</t>
  </si>
  <si>
    <t>Device Procurement and Deployment</t>
  </si>
  <si>
    <t>Deployment Validation</t>
  </si>
  <si>
    <t>Network Remediation</t>
  </si>
  <si>
    <t>Voice Planning - Dial plans, number porting</t>
  </si>
  <si>
    <t>On Premise PSTN Connectivity planning</t>
  </si>
  <si>
    <t>Cloud Connector Edition Planning and Deployment</t>
  </si>
  <si>
    <t>Business Process Transformation</t>
  </si>
  <si>
    <t>PowerShell Script Automation</t>
  </si>
  <si>
    <t>Application Support/Help Desk</t>
  </si>
  <si>
    <t>Social  Listening and Sentiment Analysis</t>
  </si>
  <si>
    <t>Support Services</t>
  </si>
  <si>
    <t>Online Training and Self Paced learning</t>
  </si>
  <si>
    <t>Reporting and Analytics</t>
  </si>
  <si>
    <t>$75,000-$200,000</t>
  </si>
  <si>
    <t>Vertical specific functionality</t>
  </si>
  <si>
    <t>Mobility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</si>
</sst>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quot;$&quot;#,##0;[Red]\-&quot;$&quot;#,##0"/>
    <numFmt numFmtId="165" formatCode="_-* #,##0.00_-;\-* #,##0.00_-;_-* &quot;-&quot;??_-;_-@_-"/>
    <numFmt numFmtId="166" formatCode="&quot;$&quot;#,##0"/>
    <numFmt numFmtId="167" formatCode="0.0%"/>
    <numFmt numFmtId="168" formatCode="0.0"/>
    <numFmt numFmtId="169" formatCode="#,##0_ ;[Red]\-#,##0\ "/>
    <numFmt numFmtId="170" formatCode="&quot;$&quot;#,##0.00"/>
    <numFmt numFmtId="171" formatCode="#,##0.0"/>
    <numFmt numFmtId="172" formatCode="#,##0.0_ ;[Red]\-#,##0.0\ "/>
    <numFmt numFmtId="173" formatCode="0.0000"/>
    <numFmt numFmtId="174" formatCode="#,##0.000"/>
    <numFmt numFmtId="175" formatCode="[$€-2]\ #,##0"/>
    <numFmt numFmtId="176" formatCode="[$€-2]\ #,##0.00"/>
    <numFmt numFmtId="177" formatCode="#,##0.0000"/>
    <numFmt numFmtId="178" formatCode="0.000%"/>
    <numFmt numFmtId="179" formatCode="[$£-809]#,##0"/>
    <numFmt numFmtId="180" formatCode="[$$-409]#,##0"/>
    <numFmt numFmtId="181" formatCode="[$$-409]#,##0.00"/>
    <numFmt numFmtId="182" formatCode="&quot;$&quot;#,##0.0000"/>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1"/>
      <color rgb="FFFF0000"/>
      <name val="Calibri"/>
      <family val="2"/>
    </font>
    <font>
      <sz val="11"/>
      <name val="Calibri"/>
      <family val="2"/>
      <scheme val="minor"/>
    </font>
    <font>
      <b/>
      <sz val="14"/>
      <name val="Calibri"/>
      <family val="2"/>
      <scheme val="minor"/>
    </font>
    <font>
      <b/>
      <sz val="11"/>
      <name val="Calibri"/>
      <family val="2"/>
      <scheme val="minor"/>
    </font>
    <font>
      <b/>
      <sz val="11"/>
      <color theme="0"/>
      <name val="Calibri"/>
      <family val="2"/>
      <scheme val="minor"/>
    </font>
    <font>
      <b/>
      <sz val="11"/>
      <color theme="0"/>
      <name val="Calibri"/>
      <family val="2"/>
    </font>
    <font>
      <b/>
      <sz val="11"/>
      <name val="Calibri"/>
      <family val="2"/>
    </font>
    <font>
      <b/>
      <sz val="9"/>
      <color indexed="81"/>
      <name val="Tahoma"/>
      <family val="2"/>
    </font>
    <font>
      <b/>
      <sz val="12"/>
      <color theme="0"/>
      <name val="Calibri"/>
      <family val="2"/>
      <scheme val="minor"/>
    </font>
    <font>
      <b/>
      <sz val="11"/>
      <color theme="0"/>
      <name val="Segoe UI"/>
      <family val="2"/>
    </font>
    <font>
      <sz val="10"/>
      <color theme="1"/>
      <name val="Segoe UI"/>
      <family val="2"/>
    </font>
    <font>
      <b/>
      <sz val="10"/>
      <color theme="1"/>
      <name val="Segoe UI"/>
      <family val="2"/>
    </font>
    <font>
      <b/>
      <sz val="11"/>
      <color theme="1"/>
      <name val="Segoe UI"/>
      <family val="2"/>
    </font>
    <font>
      <sz val="11"/>
      <color theme="1"/>
      <name val="Segoe UI"/>
      <family val="2"/>
    </font>
    <font>
      <b/>
      <sz val="10"/>
      <color theme="0"/>
      <name val="Segoe UI"/>
      <family val="2"/>
    </font>
    <font>
      <sz val="10"/>
      <color rgb="FFFF0000"/>
      <name val="Segoe UI"/>
      <family val="2"/>
    </font>
    <font>
      <b/>
      <sz val="10"/>
      <name val="Segoe UI"/>
      <family val="2"/>
    </font>
    <font>
      <sz val="11"/>
      <name val="Segoe UI"/>
      <family val="2"/>
    </font>
    <font>
      <sz val="10"/>
      <name val="Segoe UI"/>
      <family val="2"/>
    </font>
    <font>
      <sz val="14"/>
      <color theme="1"/>
      <name val="Segoe UI"/>
      <family val="2"/>
    </font>
    <font>
      <b/>
      <sz val="14"/>
      <color theme="0"/>
      <name val="Segoe UI"/>
      <family val="2"/>
    </font>
    <font>
      <sz val="10"/>
      <color rgb="FF000000"/>
      <name val="Segoe UI"/>
      <family val="2"/>
    </font>
    <font>
      <u/>
      <sz val="10"/>
      <color theme="1"/>
      <name val="Segoe UI"/>
      <family val="2"/>
    </font>
    <font>
      <i/>
      <sz val="11"/>
      <color theme="1"/>
      <name val="Segoe UI"/>
      <family val="2"/>
    </font>
    <font>
      <b/>
      <i/>
      <sz val="11"/>
      <color theme="1"/>
      <name val="Segoe UI"/>
      <family val="2"/>
    </font>
    <font>
      <i/>
      <sz val="11"/>
      <name val="Segoe UI"/>
      <family val="2"/>
    </font>
    <font>
      <sz val="11"/>
      <color rgb="FFFF0000"/>
      <name val="Segoe UI"/>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3399FF"/>
        <bgColor indexed="64"/>
      </patternFill>
    </fill>
    <fill>
      <patternFill patternType="solid">
        <fgColor rgb="FFFFC000"/>
        <bgColor indexed="64"/>
      </patternFill>
    </fill>
    <fill>
      <patternFill patternType="solid">
        <fgColor rgb="FF00B0F0"/>
        <bgColor indexed="64"/>
      </patternFill>
    </fill>
    <fill>
      <patternFill patternType="solid">
        <fgColor rgb="FF7030A0"/>
        <bgColor indexed="64"/>
      </patternFill>
    </fill>
    <fill>
      <patternFill patternType="solid">
        <fgColor rgb="FF000000"/>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op>
      <bottom/>
      <diagonal/>
    </border>
    <border>
      <left style="thin">
        <color theme="0"/>
      </left>
      <right/>
      <top/>
      <bottom style="thin">
        <color indexed="64"/>
      </bottom>
      <diagonal/>
    </border>
    <border>
      <left style="thin">
        <color theme="0"/>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165" fontId="1" fillId="0" borderId="0" applyFont="0" applyFill="0" applyBorder="0" applyAlignment="0" applyProtection="0"/>
  </cellStyleXfs>
  <cellXfs count="376">
    <xf numFmtId="0" fontId="0" fillId="0" borderId="0" xfId="0"/>
    <xf numFmtId="0" fontId="6" fillId="3" borderId="0" xfId="0" applyFont="1" applyFill="1"/>
    <xf numFmtId="0" fontId="8" fillId="3" borderId="0" xfId="0" applyFont="1" applyFill="1"/>
    <xf numFmtId="3" fontId="6" fillId="3" borderId="0" xfId="0" applyNumberFormat="1" applyFont="1" applyFill="1"/>
    <xf numFmtId="166" fontId="6" fillId="3" borderId="0" xfId="0" applyNumberFormat="1" applyFont="1" applyFill="1"/>
    <xf numFmtId="1" fontId="6" fillId="3" borderId="0" xfId="0" applyNumberFormat="1" applyFont="1" applyFill="1"/>
    <xf numFmtId="2" fontId="6" fillId="3" borderId="0" xfId="0" applyNumberFormat="1" applyFont="1" applyFill="1"/>
    <xf numFmtId="0" fontId="8" fillId="3" borderId="0" xfId="0" applyFont="1" applyFill="1" applyAlignment="1">
      <alignment horizontal="right"/>
    </xf>
    <xf numFmtId="3" fontId="8" fillId="3" borderId="0" xfId="0" applyNumberFormat="1" applyFont="1" applyFill="1"/>
    <xf numFmtId="0" fontId="0" fillId="0" borderId="0" xfId="0" applyFont="1" applyBorder="1"/>
    <xf numFmtId="3" fontId="6" fillId="0" borderId="0" xfId="0" applyNumberFormat="1" applyFont="1" applyFill="1"/>
    <xf numFmtId="0" fontId="0" fillId="0" borderId="0" xfId="0" applyProtection="1"/>
    <xf numFmtId="0" fontId="0" fillId="0" borderId="5" xfId="0" applyBorder="1" applyAlignment="1" applyProtection="1">
      <alignment horizontal="right"/>
    </xf>
    <xf numFmtId="0" fontId="0" fillId="0" borderId="8" xfId="0" applyBorder="1" applyProtection="1"/>
    <xf numFmtId="0" fontId="4" fillId="0" borderId="5" xfId="0" applyFont="1" applyBorder="1" applyAlignment="1" applyProtection="1">
      <alignment horizontal="right"/>
    </xf>
    <xf numFmtId="0" fontId="4" fillId="0" borderId="0" xfId="0" applyFont="1" applyBorder="1" applyProtection="1"/>
    <xf numFmtId="0" fontId="4" fillId="0" borderId="7" xfId="0" applyFont="1" applyBorder="1" applyAlignment="1" applyProtection="1">
      <alignment horizontal="right"/>
    </xf>
    <xf numFmtId="0" fontId="4" fillId="0" borderId="6" xfId="0" applyFont="1" applyBorder="1" applyProtection="1"/>
    <xf numFmtId="0" fontId="4" fillId="0" borderId="8" xfId="0" applyFont="1" applyBorder="1" applyProtection="1"/>
    <xf numFmtId="0" fontId="0" fillId="0" borderId="0" xfId="0" applyAlignment="1" applyProtection="1">
      <alignment horizontal="right"/>
    </xf>
    <xf numFmtId="0" fontId="3" fillId="0" borderId="0" xfId="0" applyFont="1" applyBorder="1" applyAlignment="1" applyProtection="1">
      <alignment horizontal="center" vertical="center"/>
    </xf>
    <xf numFmtId="0" fontId="6" fillId="0" borderId="0" xfId="0" applyFont="1" applyFill="1"/>
    <xf numFmtId="166" fontId="6" fillId="0" borderId="0" xfId="0" applyNumberFormat="1" applyFont="1" applyFill="1"/>
    <xf numFmtId="0" fontId="0" fillId="0" borderId="0" xfId="0" applyFill="1" applyBorder="1" applyProtection="1"/>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0" fillId="0" borderId="5" xfId="0" applyBorder="1" applyAlignment="1" applyProtection="1">
      <alignment horizontal="center"/>
    </xf>
    <xf numFmtId="3" fontId="6" fillId="0" borderId="0" xfId="0" applyNumberFormat="1" applyFont="1" applyFill="1" applyAlignment="1">
      <alignment horizontal="right"/>
    </xf>
    <xf numFmtId="0" fontId="11" fillId="0" borderId="0" xfId="0" applyFont="1" applyFill="1" applyBorder="1" applyAlignment="1" applyProtection="1">
      <alignment horizontal="right" vertical="center" wrapText="1"/>
    </xf>
    <xf numFmtId="166" fontId="0" fillId="0" borderId="0" xfId="0" applyNumberFormat="1" applyProtection="1"/>
    <xf numFmtId="164" fontId="0" fillId="0" borderId="0" xfId="0" applyNumberFormat="1" applyProtection="1"/>
    <xf numFmtId="167" fontId="0" fillId="0" borderId="6" xfId="1" applyNumberFormat="1" applyFont="1" applyBorder="1" applyAlignment="1" applyProtection="1">
      <alignment horizontal="center"/>
    </xf>
    <xf numFmtId="0" fontId="3" fillId="0" borderId="0" xfId="0" applyFont="1" applyAlignment="1" applyProtection="1">
      <alignment horizontal="right" vertical="center"/>
    </xf>
    <xf numFmtId="0" fontId="10" fillId="4" borderId="9" xfId="0" applyFont="1" applyFill="1" applyBorder="1" applyAlignment="1" applyProtection="1">
      <alignment horizontal="center"/>
    </xf>
    <xf numFmtId="0" fontId="3" fillId="0" borderId="0" xfId="0" applyFont="1" applyFill="1" applyBorder="1" applyAlignment="1" applyProtection="1">
      <alignment horizontal="center" vertical="center"/>
    </xf>
    <xf numFmtId="9" fontId="5" fillId="0" borderId="8" xfId="1" applyFont="1" applyFill="1" applyBorder="1" applyAlignment="1" applyProtection="1">
      <alignment horizontal="center"/>
      <protection locked="0"/>
    </xf>
    <xf numFmtId="166" fontId="6" fillId="0" borderId="0" xfId="0" applyNumberFormat="1" applyFont="1" applyFill="1" applyAlignment="1">
      <alignment horizontal="right"/>
    </xf>
    <xf numFmtId="174" fontId="6" fillId="3" borderId="0" xfId="0" applyNumberFormat="1" applyFont="1" applyFill="1"/>
    <xf numFmtId="167" fontId="6" fillId="3" borderId="0" xfId="1" applyNumberFormat="1" applyFont="1" applyFill="1"/>
    <xf numFmtId="4" fontId="6" fillId="3" borderId="0" xfId="0" applyNumberFormat="1" applyFont="1" applyFill="1"/>
    <xf numFmtId="0" fontId="0" fillId="0" borderId="6" xfId="0" applyBorder="1" applyProtection="1"/>
    <xf numFmtId="166" fontId="0" fillId="0" borderId="6" xfId="0" applyNumberFormat="1" applyBorder="1" applyAlignment="1" applyProtection="1">
      <alignment horizontal="left" vertical="center"/>
    </xf>
    <xf numFmtId="0" fontId="0" fillId="2" borderId="0" xfId="0" applyFill="1" applyBorder="1" applyProtection="1"/>
    <xf numFmtId="0" fontId="3" fillId="2" borderId="0" xfId="0" applyFont="1" applyFill="1" applyBorder="1" applyProtection="1"/>
    <xf numFmtId="0" fontId="3" fillId="2" borderId="0" xfId="0" applyFont="1" applyFill="1" applyBorder="1" applyAlignment="1" applyProtection="1">
      <alignment horizontal="right"/>
    </xf>
    <xf numFmtId="175" fontId="2" fillId="7" borderId="0" xfId="0" applyNumberFormat="1" applyFont="1" applyFill="1" applyBorder="1" applyAlignment="1" applyProtection="1">
      <alignment horizontal="center"/>
      <protection locked="0"/>
    </xf>
    <xf numFmtId="175" fontId="2" fillId="7" borderId="1" xfId="0" applyNumberFormat="1" applyFont="1" applyFill="1" applyBorder="1" applyAlignment="1" applyProtection="1">
      <alignment horizontal="center"/>
      <protection locked="0"/>
    </xf>
    <xf numFmtId="175" fontId="5" fillId="0" borderId="1" xfId="0" applyNumberFormat="1" applyFont="1" applyFill="1" applyBorder="1" applyAlignment="1" applyProtection="1">
      <alignment horizontal="center"/>
      <protection locked="0"/>
    </xf>
    <xf numFmtId="175" fontId="5" fillId="0" borderId="8" xfId="0" applyNumberFormat="1" applyFont="1" applyFill="1" applyBorder="1" applyAlignment="1" applyProtection="1">
      <alignment horizontal="center"/>
      <protection locked="0"/>
    </xf>
    <xf numFmtId="175" fontId="0" fillId="2" borderId="0" xfId="0" applyNumberFormat="1" applyFill="1" applyAlignment="1" applyProtection="1">
      <alignment horizontal="center" vertical="center"/>
    </xf>
    <xf numFmtId="175" fontId="3" fillId="2" borderId="0" xfId="0" applyNumberFormat="1" applyFont="1" applyFill="1" applyProtection="1"/>
    <xf numFmtId="4" fontId="6" fillId="0" borderId="0" xfId="0" applyNumberFormat="1" applyFont="1" applyFill="1" applyAlignment="1">
      <alignment horizontal="right"/>
    </xf>
    <xf numFmtId="166" fontId="6" fillId="3" borderId="0" xfId="0" applyNumberFormat="1" applyFont="1" applyFill="1" applyAlignment="1">
      <alignment horizontal="right"/>
    </xf>
    <xf numFmtId="166" fontId="2" fillId="7" borderId="0" xfId="0" applyNumberFormat="1" applyFont="1" applyFill="1" applyBorder="1" applyAlignment="1" applyProtection="1">
      <alignment horizontal="center"/>
      <protection locked="0"/>
    </xf>
    <xf numFmtId="168" fontId="6" fillId="3" borderId="0" xfId="0" applyNumberFormat="1" applyFont="1" applyFill="1"/>
    <xf numFmtId="0" fontId="14" fillId="0" borderId="0" xfId="0" applyFont="1" applyFill="1" applyAlignment="1"/>
    <xf numFmtId="174" fontId="6" fillId="0" borderId="0" xfId="0" applyNumberFormat="1" applyFont="1" applyFill="1" applyAlignment="1">
      <alignment horizontal="right"/>
    </xf>
    <xf numFmtId="9" fontId="6" fillId="3" borderId="0" xfId="1" applyNumberFormat="1" applyFont="1" applyFill="1"/>
    <xf numFmtId="177" fontId="6" fillId="0" borderId="0" xfId="0" applyNumberFormat="1" applyFont="1" applyFill="1" applyAlignment="1">
      <alignment horizontal="right"/>
    </xf>
    <xf numFmtId="0" fontId="0" fillId="0" borderId="0" xfId="0" applyFill="1" applyProtection="1"/>
    <xf numFmtId="10" fontId="6" fillId="3" borderId="0" xfId="1" applyNumberFormat="1" applyFont="1" applyFill="1"/>
    <xf numFmtId="178" fontId="6" fillId="3" borderId="0" xfId="1" applyNumberFormat="1" applyFont="1" applyFill="1"/>
    <xf numFmtId="9" fontId="5" fillId="0" borderId="4" xfId="1" applyFont="1" applyFill="1" applyBorder="1" applyAlignment="1" applyProtection="1">
      <alignment horizontal="center"/>
      <protection locked="0"/>
    </xf>
    <xf numFmtId="0" fontId="9" fillId="4" borderId="2"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10" fillId="4" borderId="2" xfId="0" applyFont="1" applyFill="1" applyBorder="1" applyAlignment="1" applyProtection="1">
      <alignment horizontal="center"/>
    </xf>
    <xf numFmtId="0" fontId="10" fillId="4" borderId="3" xfId="0" applyFont="1" applyFill="1" applyBorder="1" applyAlignment="1" applyProtection="1">
      <alignment horizontal="center"/>
    </xf>
    <xf numFmtId="0" fontId="10" fillId="4" borderId="4" xfId="0" applyFont="1" applyFill="1" applyBorder="1" applyAlignment="1" applyProtection="1">
      <alignment horizontal="center"/>
    </xf>
    <xf numFmtId="0" fontId="4" fillId="0" borderId="0" xfId="0" applyFont="1" applyBorder="1" applyAlignment="1" applyProtection="1">
      <alignment horizontal="right"/>
    </xf>
    <xf numFmtId="9" fontId="5" fillId="0" borderId="0" xfId="1" applyFont="1" applyFill="1" applyBorder="1" applyAlignment="1" applyProtection="1">
      <alignment horizontal="center"/>
      <protection locked="0"/>
    </xf>
    <xf numFmtId="0" fontId="4" fillId="0" borderId="0" xfId="0" applyFont="1" applyFill="1" applyBorder="1" applyAlignment="1" applyProtection="1">
      <alignment horizontal="right"/>
    </xf>
    <xf numFmtId="0" fontId="3" fillId="0" borderId="0" xfId="0" applyFont="1" applyFill="1" applyBorder="1" applyAlignment="1" applyProtection="1">
      <alignment horizontal="right" vertical="center"/>
    </xf>
    <xf numFmtId="167" fontId="0" fillId="0" borderId="0" xfId="1" applyNumberFormat="1" applyFont="1" applyFill="1" applyBorder="1" applyAlignment="1" applyProtection="1">
      <alignment horizontal="center" vertical="center"/>
    </xf>
    <xf numFmtId="0" fontId="17" fillId="0" borderId="0" xfId="0" applyFont="1"/>
    <xf numFmtId="0" fontId="18" fillId="0" borderId="0" xfId="0" applyFont="1"/>
    <xf numFmtId="0" fontId="18" fillId="0" borderId="0" xfId="0" applyFont="1" applyFill="1"/>
    <xf numFmtId="0" fontId="15" fillId="0" borderId="0" xfId="0" applyFont="1" applyProtection="1"/>
    <xf numFmtId="0" fontId="15" fillId="0" borderId="0" xfId="0" applyFont="1" applyFill="1" applyProtection="1"/>
    <xf numFmtId="0" fontId="19" fillId="0" borderId="0" xfId="0" applyFont="1" applyFill="1" applyBorder="1" applyAlignment="1" applyProtection="1">
      <alignment horizontal="center"/>
    </xf>
    <xf numFmtId="0" fontId="15" fillId="0" borderId="5" xfId="0" applyFont="1" applyBorder="1" applyAlignment="1" applyProtection="1">
      <alignment horizontal="right"/>
    </xf>
    <xf numFmtId="175" fontId="20" fillId="0" borderId="0" xfId="0" applyNumberFormat="1" applyFont="1" applyFill="1" applyBorder="1" applyAlignment="1" applyProtection="1">
      <alignment horizontal="center" vertical="center"/>
    </xf>
    <xf numFmtId="0" fontId="15" fillId="0" borderId="5" xfId="0" applyFont="1" applyBorder="1" applyProtection="1"/>
    <xf numFmtId="0" fontId="15" fillId="0" borderId="0" xfId="0" applyFont="1" applyBorder="1" applyAlignment="1" applyProtection="1">
      <alignment horizontal="right"/>
    </xf>
    <xf numFmtId="9" fontId="20" fillId="0" borderId="6" xfId="1" applyNumberFormat="1" applyFont="1" applyFill="1" applyBorder="1" applyAlignment="1" applyProtection="1">
      <alignment horizontal="center" vertical="center"/>
      <protection locked="0"/>
    </xf>
    <xf numFmtId="9" fontId="20" fillId="0" borderId="0" xfId="1" applyNumberFormat="1" applyFont="1" applyFill="1" applyBorder="1" applyAlignment="1" applyProtection="1">
      <alignment horizontal="center" vertical="center"/>
    </xf>
    <xf numFmtId="0" fontId="19" fillId="0" borderId="5" xfId="0" applyFont="1" applyFill="1" applyBorder="1" applyAlignment="1" applyProtection="1"/>
    <xf numFmtId="9" fontId="20" fillId="0" borderId="6" xfId="1" applyNumberFormat="1" applyFont="1" applyFill="1" applyBorder="1" applyAlignment="1" applyProtection="1">
      <alignment horizontal="center"/>
      <protection locked="0"/>
    </xf>
    <xf numFmtId="180" fontId="20" fillId="0" borderId="6" xfId="1" applyNumberFormat="1" applyFont="1" applyFill="1" applyBorder="1" applyAlignment="1" applyProtection="1">
      <alignment horizontal="center"/>
      <protection locked="0"/>
    </xf>
    <xf numFmtId="9" fontId="20" fillId="0" borderId="0" xfId="1" applyNumberFormat="1" applyFont="1" applyFill="1" applyBorder="1" applyAlignment="1" applyProtection="1">
      <alignment horizontal="center"/>
    </xf>
    <xf numFmtId="0" fontId="19" fillId="0" borderId="7" xfId="0" applyFont="1" applyFill="1" applyBorder="1" applyAlignment="1" applyProtection="1"/>
    <xf numFmtId="0" fontId="15" fillId="0" borderId="1" xfId="0" applyFont="1" applyBorder="1" applyAlignment="1" applyProtection="1">
      <alignment horizontal="right"/>
    </xf>
    <xf numFmtId="9" fontId="20" fillId="0" borderId="8" xfId="1" applyNumberFormat="1" applyFont="1" applyFill="1" applyBorder="1" applyAlignment="1" applyProtection="1">
      <alignment horizontal="center" vertical="center"/>
      <protection locked="0"/>
    </xf>
    <xf numFmtId="0" fontId="15" fillId="0" borderId="7" xfId="0" applyFont="1" applyBorder="1" applyAlignment="1" applyProtection="1">
      <alignment horizontal="right"/>
    </xf>
    <xf numFmtId="0" fontId="19" fillId="0" borderId="0" xfId="0" applyFont="1" applyFill="1" applyBorder="1" applyAlignment="1" applyProtection="1">
      <alignment vertical="center"/>
    </xf>
    <xf numFmtId="0" fontId="21" fillId="0" borderId="0" xfId="0" applyFont="1" applyFill="1" applyBorder="1" applyAlignment="1" applyProtection="1">
      <alignment horizontal="center" vertical="center" textRotation="90"/>
    </xf>
    <xf numFmtId="0" fontId="21" fillId="0" borderId="0" xfId="0" applyFont="1" applyAlignment="1" applyProtection="1">
      <alignment horizontal="center" vertical="center" textRotation="90"/>
    </xf>
    <xf numFmtId="0" fontId="1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5" fillId="0" borderId="0" xfId="0" applyFont="1" applyBorder="1" applyProtection="1"/>
    <xf numFmtId="166" fontId="20" fillId="0" borderId="0" xfId="0" applyNumberFormat="1" applyFont="1" applyFill="1" applyBorder="1" applyAlignment="1" applyProtection="1">
      <alignment horizontal="center"/>
    </xf>
    <xf numFmtId="0" fontId="15" fillId="0" borderId="0" xfId="0" applyFont="1" applyFill="1" applyBorder="1" applyProtection="1"/>
    <xf numFmtId="0" fontId="16" fillId="0" borderId="3" xfId="0" applyFont="1" applyBorder="1" applyAlignment="1" applyProtection="1">
      <alignment horizontal="center"/>
    </xf>
    <xf numFmtId="0" fontId="16" fillId="0" borderId="4" xfId="0" applyFont="1" applyBorder="1" applyAlignment="1" applyProtection="1">
      <alignment horizontal="center"/>
    </xf>
    <xf numFmtId="175" fontId="20" fillId="0" borderId="0" xfId="0" applyNumberFormat="1" applyFont="1" applyFill="1" applyBorder="1" applyAlignment="1" applyProtection="1">
      <alignment horizontal="center"/>
    </xf>
    <xf numFmtId="166" fontId="20" fillId="0" borderId="0" xfId="1" applyNumberFormat="1" applyFont="1" applyFill="1" applyBorder="1" applyAlignment="1" applyProtection="1">
      <alignment horizontal="center"/>
    </xf>
    <xf numFmtId="0" fontId="15" fillId="0" borderId="0" xfId="0" applyFont="1" applyAlignment="1" applyProtection="1">
      <alignment horizontal="center"/>
    </xf>
    <xf numFmtId="0" fontId="19" fillId="0" borderId="0" xfId="0" applyFont="1" applyFill="1" applyBorder="1" applyAlignment="1" applyProtection="1"/>
    <xf numFmtId="9" fontId="15" fillId="0" borderId="0" xfId="1" applyFont="1" applyAlignment="1" applyProtection="1">
      <alignment horizontal="left"/>
    </xf>
    <xf numFmtId="175" fontId="16" fillId="0" borderId="0" xfId="0" applyNumberFormat="1" applyFont="1" applyFill="1" applyBorder="1" applyAlignment="1" applyProtection="1">
      <alignment horizontal="center"/>
    </xf>
    <xf numFmtId="175" fontId="15" fillId="0" borderId="0" xfId="0" applyNumberFormat="1" applyFont="1" applyProtection="1"/>
    <xf numFmtId="9" fontId="15" fillId="0" borderId="0" xfId="1" applyNumberFormat="1" applyFont="1" applyAlignment="1" applyProtection="1">
      <alignment horizontal="left"/>
    </xf>
    <xf numFmtId="180" fontId="15" fillId="2" borderId="6" xfId="0" applyNumberFormat="1" applyFont="1" applyFill="1" applyBorder="1" applyAlignment="1" applyProtection="1">
      <alignment horizontal="center"/>
    </xf>
    <xf numFmtId="180" fontId="15" fillId="2" borderId="8" xfId="0" applyNumberFormat="1" applyFont="1" applyFill="1" applyBorder="1" applyAlignment="1" applyProtection="1">
      <alignment horizontal="center"/>
    </xf>
    <xf numFmtId="0" fontId="15" fillId="0" borderId="0" xfId="0" applyFont="1" applyAlignment="1" applyProtection="1">
      <alignment horizontal="left"/>
    </xf>
    <xf numFmtId="0" fontId="15" fillId="0" borderId="0" xfId="0" applyFont="1" applyAlignment="1" applyProtection="1">
      <alignment horizontal="right"/>
    </xf>
    <xf numFmtId="166" fontId="15" fillId="0" borderId="0" xfId="0" applyNumberFormat="1" applyFont="1" applyProtection="1"/>
    <xf numFmtId="164" fontId="15" fillId="0" borderId="0" xfId="0" applyNumberFormat="1" applyFont="1" applyProtection="1"/>
    <xf numFmtId="0" fontId="15" fillId="0" borderId="0" xfId="0" applyFont="1" applyBorder="1" applyAlignment="1" applyProtection="1">
      <alignment horizontal="center"/>
    </xf>
    <xf numFmtId="0" fontId="15" fillId="0" borderId="0" xfId="0" applyFont="1" applyBorder="1" applyAlignment="1" applyProtection="1">
      <alignment horizontal="center"/>
      <protection locked="0"/>
    </xf>
    <xf numFmtId="0" fontId="15" fillId="0" borderId="0" xfId="0" applyFont="1" applyAlignment="1" applyProtection="1">
      <alignment horizontal="center"/>
      <protection locked="0"/>
    </xf>
    <xf numFmtId="0" fontId="15" fillId="0" borderId="0" xfId="0" applyFont="1" applyAlignment="1" applyProtection="1"/>
    <xf numFmtId="164" fontId="15" fillId="0" borderId="0" xfId="0" applyNumberFormat="1" applyFont="1" applyFill="1" applyProtection="1"/>
    <xf numFmtId="167" fontId="15" fillId="0" borderId="0" xfId="1" applyNumberFormat="1" applyFont="1" applyProtection="1"/>
    <xf numFmtId="1" fontId="15" fillId="0" borderId="0" xfId="0" applyNumberFormat="1" applyFont="1" applyProtection="1"/>
    <xf numFmtId="1" fontId="15" fillId="0" borderId="0" xfId="0" applyNumberFormat="1" applyFont="1" applyFill="1" applyProtection="1"/>
    <xf numFmtId="0" fontId="19" fillId="4" borderId="12" xfId="0" applyFont="1" applyFill="1" applyBorder="1" applyAlignment="1" applyProtection="1">
      <alignment horizontal="center" vertical="center" wrapText="1"/>
    </xf>
    <xf numFmtId="0" fontId="16" fillId="0" borderId="14" xfId="0" applyFont="1" applyBorder="1" applyAlignment="1" applyProtection="1">
      <alignment horizontal="center"/>
    </xf>
    <xf numFmtId="175" fontId="20" fillId="8" borderId="13" xfId="0" applyNumberFormat="1" applyFont="1" applyFill="1" applyBorder="1" applyAlignment="1" applyProtection="1">
      <alignment horizontal="center"/>
    </xf>
    <xf numFmtId="175" fontId="20" fillId="8" borderId="1" xfId="0" applyNumberFormat="1" applyFont="1" applyFill="1" applyBorder="1" applyAlignment="1" applyProtection="1">
      <alignment horizontal="center"/>
    </xf>
    <xf numFmtId="175" fontId="20" fillId="8" borderId="8" xfId="0" applyNumberFormat="1" applyFont="1" applyFill="1" applyBorder="1" applyAlignment="1" applyProtection="1">
      <alignment horizontal="center"/>
    </xf>
    <xf numFmtId="176" fontId="15" fillId="0" borderId="0" xfId="0" applyNumberFormat="1" applyFont="1" applyAlignment="1" applyProtection="1">
      <alignment horizontal="right"/>
    </xf>
    <xf numFmtId="0" fontId="15" fillId="0" borderId="0" xfId="0" applyFont="1" applyAlignment="1" applyProtection="1">
      <alignment horizontal="right" wrapText="1"/>
    </xf>
    <xf numFmtId="0" fontId="15" fillId="0" borderId="0" xfId="0" applyFont="1" applyFill="1" applyAlignment="1" applyProtection="1">
      <alignment horizontal="left"/>
    </xf>
    <xf numFmtId="166" fontId="15" fillId="0" borderId="0" xfId="0" applyNumberFormat="1" applyFont="1" applyFill="1" applyBorder="1" applyProtection="1"/>
    <xf numFmtId="166" fontId="15" fillId="0" borderId="0" xfId="0" applyNumberFormat="1" applyFont="1" applyBorder="1" applyProtection="1"/>
    <xf numFmtId="164" fontId="23" fillId="0" borderId="1" xfId="0" applyNumberFormat="1" applyFont="1" applyBorder="1" applyAlignment="1" applyProtection="1">
      <alignment horizontal="right"/>
    </xf>
    <xf numFmtId="167" fontId="23" fillId="0" borderId="0" xfId="1" applyNumberFormat="1" applyFont="1" applyProtection="1"/>
    <xf numFmtId="166" fontId="15" fillId="0" borderId="1" xfId="0" applyNumberFormat="1" applyFont="1" applyBorder="1" applyProtection="1"/>
    <xf numFmtId="175" fontId="15" fillId="0" borderId="0" xfId="0" applyNumberFormat="1" applyFont="1" applyBorder="1" applyAlignment="1" applyProtection="1">
      <alignment horizontal="right"/>
    </xf>
    <xf numFmtId="166" fontId="15" fillId="0" borderId="0" xfId="0" applyNumberFormat="1" applyFont="1" applyBorder="1" applyAlignment="1" applyProtection="1">
      <alignment horizontal="right"/>
    </xf>
    <xf numFmtId="164" fontId="23" fillId="0" borderId="0" xfId="0" applyNumberFormat="1" applyFont="1" applyBorder="1" applyAlignment="1" applyProtection="1">
      <alignment horizontal="right"/>
    </xf>
    <xf numFmtId="175" fontId="23" fillId="0" borderId="0" xfId="0" applyNumberFormat="1" applyFont="1" applyProtection="1"/>
    <xf numFmtId="166" fontId="23" fillId="0" borderId="0" xfId="0" applyNumberFormat="1" applyFont="1" applyProtection="1"/>
    <xf numFmtId="164" fontId="20" fillId="0" borderId="0" xfId="0" applyNumberFormat="1" applyFont="1" applyProtection="1"/>
    <xf numFmtId="169" fontId="15" fillId="0" borderId="0" xfId="0" applyNumberFormat="1" applyFont="1" applyProtection="1"/>
    <xf numFmtId="171" fontId="23" fillId="0" borderId="0" xfId="0" applyNumberFormat="1" applyFont="1" applyFill="1" applyBorder="1" applyAlignment="1" applyProtection="1">
      <alignment horizontal="right"/>
    </xf>
    <xf numFmtId="167" fontId="15" fillId="0" borderId="0" xfId="0" applyNumberFormat="1" applyFont="1" applyProtection="1"/>
    <xf numFmtId="168" fontId="20" fillId="0" borderId="0" xfId="0" applyNumberFormat="1" applyFont="1" applyBorder="1" applyAlignment="1" applyProtection="1">
      <alignment horizontal="right" vertical="center"/>
    </xf>
    <xf numFmtId="167" fontId="15" fillId="0" borderId="0" xfId="1" applyNumberFormat="1" applyFont="1" applyAlignment="1" applyProtection="1">
      <alignment horizontal="right"/>
    </xf>
    <xf numFmtId="164" fontId="15" fillId="0" borderId="0" xfId="0" applyNumberFormat="1" applyFont="1" applyAlignment="1" applyProtection="1">
      <alignment horizontal="right"/>
    </xf>
    <xf numFmtId="173" fontId="15" fillId="0" borderId="0" xfId="0" applyNumberFormat="1" applyFont="1" applyAlignment="1" applyProtection="1">
      <alignment horizontal="right"/>
    </xf>
    <xf numFmtId="166" fontId="15" fillId="0" borderId="1" xfId="0" applyNumberFormat="1" applyFont="1" applyBorder="1" applyAlignment="1" applyProtection="1">
      <alignment horizontal="right"/>
    </xf>
    <xf numFmtId="175" fontId="15" fillId="0" borderId="0" xfId="0" applyNumberFormat="1" applyFont="1" applyAlignment="1" applyProtection="1">
      <alignment horizontal="right"/>
    </xf>
    <xf numFmtId="166" fontId="15" fillId="0" borderId="0" xfId="0" applyNumberFormat="1" applyFont="1" applyAlignment="1" applyProtection="1">
      <alignment horizontal="right"/>
    </xf>
    <xf numFmtId="166" fontId="20" fillId="0" borderId="0" xfId="0" applyNumberFormat="1" applyFont="1" applyAlignment="1" applyProtection="1">
      <alignment horizontal="right"/>
    </xf>
    <xf numFmtId="170" fontId="15" fillId="0" borderId="0" xfId="0" applyNumberFormat="1" applyFont="1" applyProtection="1"/>
    <xf numFmtId="166" fontId="15" fillId="0" borderId="0" xfId="0" applyNumberFormat="1" applyFont="1" applyFill="1" applyBorder="1" applyAlignment="1" applyProtection="1">
      <alignment horizontal="right"/>
    </xf>
    <xf numFmtId="170" fontId="15" fillId="0" borderId="0" xfId="0" applyNumberFormat="1" applyFont="1" applyFill="1" applyProtection="1"/>
    <xf numFmtId="175" fontId="23" fillId="0" borderId="0" xfId="0" applyNumberFormat="1" applyFont="1" applyAlignment="1" applyProtection="1">
      <alignment horizontal="right"/>
    </xf>
    <xf numFmtId="166" fontId="23" fillId="0" borderId="0" xfId="0" applyNumberFormat="1" applyFont="1" applyAlignment="1" applyProtection="1">
      <alignment horizontal="right"/>
    </xf>
    <xf numFmtId="167" fontId="15" fillId="0" borderId="0" xfId="1" applyNumberFormat="1" applyFont="1" applyBorder="1" applyProtection="1"/>
    <xf numFmtId="172" fontId="15" fillId="0" borderId="0" xfId="0" applyNumberFormat="1" applyFont="1" applyAlignment="1" applyProtection="1">
      <alignment horizontal="right"/>
    </xf>
    <xf numFmtId="167" fontId="15" fillId="0" borderId="0" xfId="1" applyNumberFormat="1" applyFont="1" applyBorder="1" applyAlignment="1" applyProtection="1">
      <alignment horizontal="right"/>
    </xf>
    <xf numFmtId="168" fontId="15" fillId="0" borderId="0" xfId="0" applyNumberFormat="1" applyFont="1" applyProtection="1"/>
    <xf numFmtId="175" fontId="15" fillId="0" borderId="0" xfId="0" applyNumberFormat="1" applyFont="1" applyBorder="1" applyProtection="1"/>
    <xf numFmtId="9" fontId="15" fillId="0" borderId="0" xfId="1" applyFont="1" applyProtection="1"/>
    <xf numFmtId="166" fontId="15" fillId="0" borderId="0" xfId="0" applyNumberFormat="1" applyFont="1" applyFill="1" applyProtection="1"/>
    <xf numFmtId="175" fontId="15" fillId="2" borderId="0" xfId="0" applyNumberFormat="1" applyFont="1" applyFill="1" applyProtection="1"/>
    <xf numFmtId="169" fontId="15" fillId="2" borderId="0" xfId="0" applyNumberFormat="1" applyFont="1" applyFill="1" applyProtection="1"/>
    <xf numFmtId="166" fontId="15" fillId="2" borderId="0" xfId="0" applyNumberFormat="1" applyFont="1" applyFill="1" applyProtection="1"/>
    <xf numFmtId="167" fontId="15" fillId="0" borderId="0" xfId="0" applyNumberFormat="1" applyFont="1" applyAlignment="1" applyProtection="1">
      <alignment horizontal="right"/>
    </xf>
    <xf numFmtId="167" fontId="15" fillId="0" borderId="0" xfId="0" applyNumberFormat="1" applyFont="1" applyFill="1" applyProtection="1"/>
    <xf numFmtId="9" fontId="15" fillId="0" borderId="0" xfId="1" applyFont="1" applyFill="1" applyProtection="1"/>
    <xf numFmtId="176" fontId="15" fillId="0" borderId="0" xfId="0" applyNumberFormat="1" applyFont="1" applyProtection="1"/>
    <xf numFmtId="0" fontId="15" fillId="5" borderId="0" xfId="0" applyFont="1" applyFill="1" applyProtection="1"/>
    <xf numFmtId="167" fontId="23" fillId="5" borderId="0" xfId="1" applyNumberFormat="1" applyFont="1" applyFill="1" applyAlignment="1" applyProtection="1">
      <alignment horizontal="center"/>
    </xf>
    <xf numFmtId="167" fontId="23" fillId="5" borderId="0" xfId="1" applyNumberFormat="1" applyFont="1" applyFill="1" applyProtection="1"/>
    <xf numFmtId="0" fontId="15" fillId="5" borderId="0" xfId="0" applyFont="1" applyFill="1" applyAlignment="1" applyProtection="1">
      <alignment horizontal="right"/>
    </xf>
    <xf numFmtId="0" fontId="15" fillId="5" borderId="0" xfId="0" applyFont="1" applyFill="1" applyAlignment="1" applyProtection="1">
      <alignment horizontal="center"/>
    </xf>
    <xf numFmtId="167" fontId="15" fillId="5" borderId="0" xfId="1" applyNumberFormat="1" applyFont="1" applyFill="1" applyAlignment="1" applyProtection="1">
      <alignment horizontal="center"/>
    </xf>
    <xf numFmtId="167" fontId="15" fillId="5" borderId="0" xfId="1" applyNumberFormat="1" applyFont="1" applyFill="1" applyProtection="1"/>
    <xf numFmtId="168" fontId="23" fillId="5" borderId="0" xfId="1" applyNumberFormat="1" applyFont="1" applyFill="1" applyAlignment="1" applyProtection="1">
      <alignment horizontal="center"/>
    </xf>
    <xf numFmtId="167" fontId="15" fillId="5" borderId="0" xfId="1" applyNumberFormat="1" applyFont="1" applyFill="1" applyAlignment="1" applyProtection="1">
      <alignment horizontal="right"/>
    </xf>
    <xf numFmtId="167" fontId="15" fillId="0" borderId="0" xfId="1" applyNumberFormat="1" applyFont="1" applyAlignment="1" applyProtection="1">
      <alignment horizontal="center"/>
    </xf>
    <xf numFmtId="164" fontId="15" fillId="0" borderId="0" xfId="0" applyNumberFormat="1" applyFont="1" applyAlignment="1" applyProtection="1"/>
    <xf numFmtId="164" fontId="15" fillId="0" borderId="0" xfId="1" applyNumberFormat="1" applyFont="1" applyProtection="1"/>
    <xf numFmtId="168" fontId="18" fillId="0" borderId="0" xfId="0" applyNumberFormat="1" applyFont="1"/>
    <xf numFmtId="3" fontId="22" fillId="0" borderId="0" xfId="0" applyNumberFormat="1" applyFont="1" applyFill="1"/>
    <xf numFmtId="3" fontId="18" fillId="0" borderId="0" xfId="0" applyNumberFormat="1" applyFont="1"/>
    <xf numFmtId="0" fontId="24" fillId="0" borderId="0" xfId="0" applyFont="1" applyFill="1" applyAlignment="1" applyProtection="1">
      <alignment horizontal="right"/>
    </xf>
    <xf numFmtId="166" fontId="24" fillId="0" borderId="0" xfId="2" applyNumberFormat="1" applyFont="1" applyFill="1" applyAlignment="1" applyProtection="1">
      <alignment horizontal="center"/>
    </xf>
    <xf numFmtId="0" fontId="18" fillId="0" borderId="0" xfId="0" applyFont="1" applyAlignment="1">
      <alignment horizontal="right"/>
    </xf>
    <xf numFmtId="166" fontId="18" fillId="0" borderId="0" xfId="0" applyNumberFormat="1" applyFont="1"/>
    <xf numFmtId="181" fontId="20" fillId="0" borderId="6"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wrapText="1"/>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180" fontId="19" fillId="0" borderId="0" xfId="0" applyNumberFormat="1" applyFont="1" applyFill="1" applyAlignment="1" applyProtection="1">
      <alignment horizontal="center"/>
    </xf>
    <xf numFmtId="0" fontId="16" fillId="0" borderId="0" xfId="0" applyFont="1" applyFill="1" applyBorder="1" applyProtection="1"/>
    <xf numFmtId="175" fontId="20" fillId="0" borderId="3" xfId="1" applyNumberFormat="1" applyFont="1" applyFill="1" applyBorder="1" applyAlignment="1" applyProtection="1">
      <alignment horizontal="center"/>
    </xf>
    <xf numFmtId="0" fontId="19" fillId="4" borderId="5" xfId="0" applyFont="1" applyFill="1" applyBorder="1" applyAlignment="1" applyProtection="1">
      <alignment vertical="center"/>
    </xf>
    <xf numFmtId="0" fontId="16" fillId="0" borderId="0" xfId="0" applyFont="1" applyFill="1" applyBorder="1" applyAlignment="1" applyProtection="1">
      <alignment horizontal="center"/>
    </xf>
    <xf numFmtId="0" fontId="19" fillId="4" borderId="5" xfId="0" applyFont="1" applyFill="1" applyBorder="1" applyAlignment="1" applyProtection="1">
      <alignment horizontal="center" vertical="center" wrapText="1"/>
    </xf>
    <xf numFmtId="0" fontId="16" fillId="0" borderId="2"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0" xfId="0" applyFont="1" applyAlignment="1" applyProtection="1">
      <alignment horizontal="center" vertical="center" textRotation="90"/>
    </xf>
    <xf numFmtId="0" fontId="25" fillId="0" borderId="0" xfId="0" applyFont="1" applyFill="1" applyAlignment="1" applyProtection="1">
      <alignment horizontal="center" vertical="center" wrapText="1"/>
    </xf>
    <xf numFmtId="0" fontId="14"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right"/>
    </xf>
    <xf numFmtId="0" fontId="16" fillId="0" borderId="3" xfId="0" applyFont="1" applyBorder="1" applyAlignment="1" applyProtection="1">
      <alignment vertical="center"/>
    </xf>
    <xf numFmtId="180" fontId="20" fillId="0" borderId="0" xfId="0" applyNumberFormat="1" applyFont="1" applyFill="1" applyBorder="1" applyAlignment="1" applyProtection="1">
      <alignment horizontal="center" vertical="center"/>
    </xf>
    <xf numFmtId="0" fontId="15" fillId="0" borderId="0" xfId="0" applyFont="1" applyProtection="1">
      <protection locked="0"/>
    </xf>
    <xf numFmtId="175" fontId="20" fillId="0" borderId="0" xfId="0" applyNumberFormat="1" applyFont="1" applyProtection="1"/>
    <xf numFmtId="175" fontId="20" fillId="0" borderId="0" xfId="0" applyNumberFormat="1" applyFont="1" applyFill="1" applyProtection="1"/>
    <xf numFmtId="179" fontId="20" fillId="0" borderId="0" xfId="0" applyNumberFormat="1" applyFont="1" applyProtection="1"/>
    <xf numFmtId="1" fontId="20" fillId="0" borderId="0" xfId="0" applyNumberFormat="1" applyFont="1" applyBorder="1" applyAlignment="1" applyProtection="1">
      <alignment horizontal="right" vertical="center"/>
    </xf>
    <xf numFmtId="3" fontId="20" fillId="0" borderId="0" xfId="0" applyNumberFormat="1" applyFont="1" applyBorder="1" applyAlignment="1" applyProtection="1">
      <alignment horizontal="right" vertical="center"/>
    </xf>
    <xf numFmtId="175" fontId="20" fillId="0" borderId="0" xfId="0" applyNumberFormat="1" applyFont="1" applyBorder="1" applyProtection="1"/>
    <xf numFmtId="175" fontId="20" fillId="0" borderId="1" xfId="0" applyNumberFormat="1" applyFont="1" applyBorder="1" applyProtection="1"/>
    <xf numFmtId="175" fontId="20" fillId="0" borderId="0" xfId="0" applyNumberFormat="1" applyFont="1" applyAlignment="1" applyProtection="1">
      <alignment horizontal="right"/>
    </xf>
    <xf numFmtId="175" fontId="20" fillId="0" borderId="0" xfId="0" applyNumberFormat="1" applyFont="1" applyFill="1" applyAlignment="1" applyProtection="1">
      <alignment horizontal="right"/>
    </xf>
    <xf numFmtId="175" fontId="20" fillId="5" borderId="0" xfId="0" applyNumberFormat="1" applyFont="1" applyFill="1" applyProtection="1"/>
    <xf numFmtId="0" fontId="16" fillId="0" borderId="0" xfId="0" applyFont="1" applyBorder="1" applyAlignment="1" applyProtection="1">
      <alignment horizontal="center" vertical="center"/>
    </xf>
    <xf numFmtId="180" fontId="15" fillId="2" borderId="0" xfId="0" applyNumberFormat="1" applyFont="1" applyFill="1" applyBorder="1" applyAlignment="1" applyProtection="1">
      <alignment horizontal="center"/>
    </xf>
    <xf numFmtId="180" fontId="15" fillId="2" borderId="1" xfId="0" applyNumberFormat="1" applyFont="1" applyFill="1" applyBorder="1" applyAlignment="1" applyProtection="1">
      <alignment horizontal="center"/>
    </xf>
    <xf numFmtId="0" fontId="20" fillId="0" borderId="5"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wrapText="1"/>
    </xf>
    <xf numFmtId="0" fontId="16" fillId="0" borderId="1" xfId="0" applyFont="1" applyBorder="1" applyAlignment="1" applyProtection="1">
      <alignment horizontal="right" vertical="center"/>
    </xf>
    <xf numFmtId="0" fontId="16" fillId="0" borderId="0" xfId="0" applyFont="1" applyBorder="1" applyAlignment="1" applyProtection="1">
      <alignment horizontal="center"/>
    </xf>
    <xf numFmtId="175" fontId="20" fillId="8" borderId="0" xfId="0" applyNumberFormat="1" applyFont="1" applyFill="1" applyBorder="1" applyAlignment="1" applyProtection="1">
      <alignment horizontal="center"/>
    </xf>
    <xf numFmtId="180" fontId="16" fillId="0" borderId="0" xfId="0" applyNumberFormat="1" applyFont="1" applyFill="1" applyBorder="1" applyAlignment="1" applyProtection="1">
      <alignment horizontal="center" vertical="center"/>
    </xf>
    <xf numFmtId="166" fontId="19" fillId="0" borderId="0" xfId="0" applyNumberFormat="1" applyFont="1" applyFill="1" applyBorder="1" applyAlignment="1" applyProtection="1">
      <alignment horizontal="center"/>
    </xf>
    <xf numFmtId="180" fontId="15" fillId="0" borderId="0" xfId="0" applyNumberFormat="1" applyFont="1" applyFill="1" applyBorder="1" applyAlignment="1" applyProtection="1">
      <alignment horizontal="center"/>
    </xf>
    <xf numFmtId="0" fontId="16" fillId="0" borderId="0" xfId="0" applyFont="1" applyFill="1" applyBorder="1" applyAlignment="1" applyProtection="1">
      <alignment vertical="center" wrapText="1"/>
    </xf>
    <xf numFmtId="9" fontId="20" fillId="0" borderId="5" xfId="1" applyNumberFormat="1" applyFont="1" applyFill="1" applyBorder="1" applyAlignment="1" applyProtection="1">
      <alignment horizontal="center" vertical="center"/>
    </xf>
    <xf numFmtId="9" fontId="20" fillId="0" borderId="7" xfId="1" applyNumberFormat="1" applyFont="1" applyFill="1" applyBorder="1" applyAlignment="1" applyProtection="1">
      <alignment horizontal="center" vertical="center"/>
    </xf>
    <xf numFmtId="0" fontId="15" fillId="0" borderId="1" xfId="0" applyFont="1" applyBorder="1" applyProtection="1"/>
    <xf numFmtId="180" fontId="20" fillId="0" borderId="8" xfId="0" applyNumberFormat="1" applyFont="1" applyFill="1" applyBorder="1" applyAlignment="1" applyProtection="1">
      <alignment horizontal="center" vertical="center"/>
      <protection locked="0"/>
    </xf>
    <xf numFmtId="9" fontId="5" fillId="0" borderId="6" xfId="1" applyFont="1" applyFill="1" applyBorder="1" applyAlignment="1" applyProtection="1">
      <alignment horizontal="center"/>
      <protection locked="0"/>
    </xf>
    <xf numFmtId="0" fontId="20" fillId="0" borderId="0" xfId="0" applyFont="1" applyFill="1" applyBorder="1" applyAlignment="1" applyProtection="1">
      <alignment vertical="center"/>
    </xf>
    <xf numFmtId="180" fontId="20" fillId="0" borderId="0" xfId="0" applyNumberFormat="1" applyFont="1" applyFill="1" applyBorder="1" applyAlignment="1" applyProtection="1">
      <alignment vertical="center"/>
    </xf>
    <xf numFmtId="180" fontId="20" fillId="0" borderId="0" xfId="1" applyNumberFormat="1" applyFont="1" applyFill="1" applyBorder="1" applyAlignment="1" applyProtection="1">
      <alignment vertical="center"/>
    </xf>
    <xf numFmtId="0" fontId="25" fillId="9" borderId="0" xfId="0" applyFont="1" applyFill="1" applyAlignment="1" applyProtection="1">
      <alignment horizontal="center" vertical="center" wrapText="1"/>
    </xf>
    <xf numFmtId="166" fontId="15" fillId="0" borderId="1" xfId="0" applyNumberFormat="1" applyFont="1" applyFill="1" applyBorder="1" applyProtection="1"/>
    <xf numFmtId="182" fontId="6" fillId="0" borderId="0" xfId="0" applyNumberFormat="1" applyFont="1" applyFill="1"/>
    <xf numFmtId="180" fontId="20" fillId="0" borderId="6"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xf>
    <xf numFmtId="181" fontId="20" fillId="0" borderId="8" xfId="0" applyNumberFormat="1" applyFont="1" applyFill="1" applyBorder="1" applyAlignment="1" applyProtection="1">
      <alignment horizontal="center" vertical="center"/>
      <protection locked="0"/>
    </xf>
    <xf numFmtId="180" fontId="20" fillId="0" borderId="6" xfId="0" applyNumberFormat="1" applyFont="1" applyFill="1" applyBorder="1" applyAlignment="1" applyProtection="1">
      <alignment horizontal="center" vertical="center"/>
      <protection locked="0"/>
    </xf>
    <xf numFmtId="9" fontId="15" fillId="0" borderId="0" xfId="1" applyFont="1" applyFill="1" applyAlignment="1" applyProtection="1">
      <alignment horizontal="left"/>
    </xf>
    <xf numFmtId="0" fontId="20" fillId="0" borderId="0" xfId="0" applyFont="1" applyFill="1" applyBorder="1" applyAlignment="1" applyProtection="1">
      <alignment vertical="center"/>
      <protection locked="0"/>
    </xf>
    <xf numFmtId="0" fontId="15" fillId="0" borderId="0" xfId="0" applyFont="1" applyBorder="1" applyAlignment="1" applyProtection="1"/>
    <xf numFmtId="0" fontId="15" fillId="0" borderId="7" xfId="0" applyFont="1" applyBorder="1" applyAlignment="1" applyProtection="1"/>
    <xf numFmtId="0" fontId="15" fillId="0" borderId="1" xfId="0" applyFont="1" applyBorder="1" applyAlignment="1" applyProtection="1"/>
    <xf numFmtId="180" fontId="20" fillId="0" borderId="6" xfId="0" applyNumberFormat="1" applyFont="1" applyFill="1" applyBorder="1" applyAlignment="1" applyProtection="1">
      <alignment horizontal="center" vertical="center"/>
      <protection locked="0"/>
    </xf>
    <xf numFmtId="0" fontId="16" fillId="0" borderId="0" xfId="0" applyFont="1"/>
    <xf numFmtId="0" fontId="16" fillId="0" borderId="21" xfId="0" applyFont="1" applyBorder="1" applyAlignment="1">
      <alignment horizontal="center" vertical="center" textRotation="45" wrapText="1"/>
    </xf>
    <xf numFmtId="0" fontId="16" fillId="0" borderId="16" xfId="0" applyFont="1" applyBorder="1" applyAlignment="1">
      <alignment horizontal="center" vertical="center" textRotation="45" wrapText="1"/>
    </xf>
    <xf numFmtId="0" fontId="16" fillId="0" borderId="0" xfId="0" applyFont="1" applyAlignment="1">
      <alignment textRotation="45" wrapText="1"/>
    </xf>
    <xf numFmtId="0" fontId="18" fillId="0" borderId="21" xfId="0" applyFont="1" applyBorder="1"/>
    <xf numFmtId="0" fontId="18" fillId="12" borderId="21" xfId="0" applyFont="1" applyFill="1" applyBorder="1"/>
    <xf numFmtId="0" fontId="18" fillId="0" borderId="21" xfId="0" applyFont="1" applyFill="1" applyBorder="1"/>
    <xf numFmtId="0" fontId="18" fillId="0" borderId="0" xfId="0" applyFont="1" applyFill="1" applyAlignment="1">
      <alignment vertical="top" wrapText="1"/>
    </xf>
    <xf numFmtId="0" fontId="17" fillId="0" borderId="0" xfId="0" applyFont="1" applyFill="1"/>
    <xf numFmtId="0" fontId="14" fillId="13" borderId="22" xfId="0" applyFont="1" applyFill="1" applyBorder="1" applyAlignment="1">
      <alignment vertical="center" wrapText="1"/>
    </xf>
    <xf numFmtId="0" fontId="14" fillId="13" borderId="23" xfId="0" applyFont="1" applyFill="1" applyBorder="1" applyAlignment="1">
      <alignment vertical="center" wrapText="1"/>
    </xf>
    <xf numFmtId="0" fontId="15" fillId="0" borderId="21" xfId="0" applyFont="1" applyBorder="1" applyAlignment="1">
      <alignment vertical="top" wrapText="1"/>
    </xf>
    <xf numFmtId="0" fontId="26" fillId="0" borderId="21" xfId="0" applyFont="1" applyBorder="1" applyAlignment="1">
      <alignment vertical="top" wrapText="1"/>
    </xf>
    <xf numFmtId="0" fontId="29" fillId="0" borderId="0" xfId="0" applyFont="1"/>
    <xf numFmtId="0" fontId="28" fillId="0" borderId="0" xfId="0" applyFont="1"/>
    <xf numFmtId="0" fontId="31" fillId="0" borderId="21" xfId="0" applyFont="1" applyBorder="1"/>
    <xf numFmtId="0" fontId="18" fillId="3" borderId="21" xfId="0" applyFont="1" applyFill="1" applyBorder="1"/>
    <xf numFmtId="0" fontId="18" fillId="3" borderId="15" xfId="0" applyFont="1" applyFill="1" applyBorder="1"/>
    <xf numFmtId="0" fontId="18" fillId="12" borderId="15" xfId="0" applyFont="1" applyFill="1" applyBorder="1"/>
    <xf numFmtId="0" fontId="18" fillId="0" borderId="15" xfId="0" applyFont="1" applyFill="1" applyBorder="1"/>
    <xf numFmtId="0" fontId="18" fillId="0" borderId="15" xfId="0" applyFont="1" applyBorder="1"/>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17" fillId="8" borderId="9" xfId="0" applyFont="1" applyFill="1" applyBorder="1" applyAlignment="1">
      <alignment horizontal="center" vertical="center"/>
    </xf>
    <xf numFmtId="0" fontId="17" fillId="8" borderId="11" xfId="0" applyFont="1" applyFill="1" applyBorder="1" applyAlignment="1">
      <alignment horizontal="center" vertical="center"/>
    </xf>
    <xf numFmtId="0" fontId="17" fillId="8" borderId="10" xfId="0" applyFont="1" applyFill="1" applyBorder="1" applyAlignment="1">
      <alignment horizontal="center" vertical="center"/>
    </xf>
    <xf numFmtId="0" fontId="16" fillId="0" borderId="0" xfId="0" applyFont="1" applyAlignment="1" applyProtection="1">
      <alignment horizontal="center" vertical="center" textRotation="90"/>
    </xf>
    <xf numFmtId="0" fontId="16" fillId="0" borderId="0" xfId="0" applyFont="1" applyFill="1" applyBorder="1" applyAlignment="1" applyProtection="1">
      <alignment horizontal="center"/>
    </xf>
    <xf numFmtId="166" fontId="19" fillId="4" borderId="2" xfId="0" applyNumberFormat="1" applyFont="1" applyFill="1" applyBorder="1" applyAlignment="1" applyProtection="1">
      <alignment horizontal="center"/>
    </xf>
    <xf numFmtId="166" fontId="19" fillId="4" borderId="3" xfId="0" applyNumberFormat="1" applyFont="1" applyFill="1" applyBorder="1" applyAlignment="1" applyProtection="1">
      <alignment horizontal="center"/>
    </xf>
    <xf numFmtId="166" fontId="19" fillId="4" borderId="4" xfId="0" applyNumberFormat="1" applyFont="1" applyFill="1" applyBorder="1" applyAlignment="1" applyProtection="1">
      <alignment horizontal="center"/>
    </xf>
    <xf numFmtId="0" fontId="19" fillId="4" borderId="2"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180" fontId="16" fillId="2" borderId="4" xfId="0" applyNumberFormat="1" applyFont="1" applyFill="1" applyBorder="1" applyAlignment="1" applyProtection="1">
      <alignment horizontal="center" vertical="center"/>
    </xf>
    <xf numFmtId="180" fontId="16" fillId="2" borderId="8" xfId="0" applyNumberFormat="1" applyFont="1" applyFill="1" applyBorder="1" applyAlignment="1" applyProtection="1">
      <alignment horizontal="center" vertical="center"/>
    </xf>
    <xf numFmtId="181" fontId="20" fillId="0" borderId="4" xfId="0" applyNumberFormat="1" applyFont="1" applyFill="1" applyBorder="1" applyAlignment="1" applyProtection="1">
      <alignment horizontal="center" vertical="center"/>
      <protection locked="0"/>
    </xf>
    <xf numFmtId="181" fontId="20" fillId="0" borderId="6" xfId="0" applyNumberFormat="1" applyFont="1" applyFill="1" applyBorder="1" applyAlignment="1" applyProtection="1">
      <alignment horizontal="center" vertical="center"/>
      <protection locked="0"/>
    </xf>
    <xf numFmtId="181" fontId="20" fillId="0" borderId="8" xfId="0" applyNumberFormat="1" applyFont="1" applyFill="1" applyBorder="1" applyAlignment="1" applyProtection="1">
      <alignment horizontal="center" vertical="center"/>
      <protection locked="0"/>
    </xf>
    <xf numFmtId="3" fontId="20" fillId="0" borderId="4" xfId="0" applyNumberFormat="1" applyFont="1" applyFill="1" applyBorder="1" applyAlignment="1" applyProtection="1">
      <alignment horizontal="center" vertical="center"/>
      <protection locked="0"/>
    </xf>
    <xf numFmtId="3" fontId="20" fillId="0" borderId="6" xfId="0" applyNumberFormat="1" applyFont="1" applyFill="1" applyBorder="1" applyAlignment="1" applyProtection="1">
      <alignment horizontal="center" vertical="center"/>
      <protection locked="0"/>
    </xf>
    <xf numFmtId="3" fontId="20" fillId="0" borderId="8" xfId="0" applyNumberFormat="1"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180" fontId="20" fillId="0" borderId="4" xfId="0" applyNumberFormat="1" applyFont="1" applyFill="1" applyBorder="1" applyAlignment="1" applyProtection="1">
      <alignment horizontal="center" vertical="center"/>
      <protection locked="0"/>
    </xf>
    <xf numFmtId="180" fontId="20" fillId="0" borderId="8" xfId="0" applyNumberFormat="1" applyFont="1" applyFill="1" applyBorder="1" applyAlignment="1" applyProtection="1">
      <alignment horizontal="center" vertical="center"/>
      <protection locked="0"/>
    </xf>
    <xf numFmtId="180" fontId="20" fillId="0" borderId="6" xfId="0" applyNumberFormat="1"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21" fillId="2" borderId="2" xfId="0" applyFont="1" applyFill="1" applyBorder="1" applyAlignment="1" applyProtection="1">
      <alignment horizontal="right" vertical="center" wrapText="1"/>
    </xf>
    <xf numFmtId="0" fontId="21" fillId="2" borderId="3" xfId="0" applyFont="1" applyFill="1" applyBorder="1" applyAlignment="1" applyProtection="1">
      <alignment horizontal="right" vertical="center" wrapText="1"/>
    </xf>
    <xf numFmtId="0" fontId="21" fillId="2" borderId="7" xfId="0" applyFont="1" applyFill="1" applyBorder="1" applyAlignment="1" applyProtection="1">
      <alignment horizontal="right" vertical="center" wrapText="1"/>
    </xf>
    <xf numFmtId="0" fontId="21" fillId="2" borderId="1" xfId="0" applyFont="1" applyFill="1" applyBorder="1" applyAlignment="1" applyProtection="1">
      <alignment horizontal="right" vertical="center" wrapText="1"/>
    </xf>
    <xf numFmtId="0" fontId="19" fillId="4" borderId="0"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15" xfId="0" applyFont="1" applyFill="1" applyBorder="1" applyAlignment="1" applyProtection="1">
      <alignment horizontal="center" vertical="center" wrapText="1"/>
    </xf>
    <xf numFmtId="0" fontId="19" fillId="4" borderId="18" xfId="0" applyFont="1" applyFill="1" applyBorder="1" applyAlignment="1" applyProtection="1">
      <alignment horizontal="center" vertical="center" wrapText="1"/>
    </xf>
    <xf numFmtId="0" fontId="25" fillId="9" borderId="0" xfId="0" applyFont="1" applyFill="1" applyAlignment="1" applyProtection="1">
      <alignment horizontal="center" vertical="center" wrapText="1"/>
    </xf>
    <xf numFmtId="0" fontId="19" fillId="4" borderId="12" xfId="0" applyFont="1" applyFill="1" applyBorder="1" applyAlignment="1" applyProtection="1">
      <alignment horizontal="center" vertical="center" wrapText="1"/>
    </xf>
    <xf numFmtId="0" fontId="19" fillId="4" borderId="20" xfId="0" applyFont="1" applyFill="1" applyBorder="1" applyAlignment="1" applyProtection="1">
      <alignment horizontal="center" vertical="center" wrapText="1"/>
    </xf>
    <xf numFmtId="0" fontId="16" fillId="0" borderId="3" xfId="0" applyFont="1" applyBorder="1" applyAlignment="1" applyProtection="1">
      <alignment horizontal="center" vertical="center"/>
    </xf>
    <xf numFmtId="0" fontId="16" fillId="0" borderId="0" xfId="0" applyFont="1" applyBorder="1" applyAlignment="1" applyProtection="1">
      <alignment horizontal="center" vertical="center"/>
    </xf>
    <xf numFmtId="0" fontId="20" fillId="0" borderId="1" xfId="0" applyFont="1" applyFill="1" applyBorder="1" applyAlignment="1" applyProtection="1">
      <alignment horizontal="center" vertical="center"/>
      <protection locked="0"/>
    </xf>
    <xf numFmtId="0" fontId="16" fillId="0" borderId="4" xfId="0" applyFont="1" applyBorder="1" applyAlignment="1" applyProtection="1">
      <alignment horizontal="center" vertical="center"/>
    </xf>
    <xf numFmtId="0" fontId="16" fillId="0" borderId="6" xfId="0" applyFont="1" applyBorder="1" applyAlignment="1" applyProtection="1">
      <alignment horizontal="center" vertical="center"/>
    </xf>
    <xf numFmtId="180" fontId="20" fillId="0" borderId="0" xfId="0" applyNumberFormat="1" applyFont="1" applyFill="1" applyBorder="1" applyAlignment="1" applyProtection="1">
      <alignment horizontal="center" vertical="center"/>
      <protection locked="0"/>
    </xf>
    <xf numFmtId="180" fontId="20" fillId="0" borderId="1" xfId="0" applyNumberFormat="1" applyFont="1" applyFill="1" applyBorder="1" applyAlignment="1" applyProtection="1">
      <alignment horizontal="center" vertical="center"/>
      <protection locked="0"/>
    </xf>
    <xf numFmtId="180" fontId="20" fillId="0" borderId="6" xfId="1" applyNumberFormat="1" applyFont="1" applyFill="1" applyBorder="1" applyAlignment="1" applyProtection="1">
      <alignment horizontal="center" vertical="center"/>
      <protection locked="0"/>
    </xf>
    <xf numFmtId="180" fontId="20" fillId="0" borderId="8" xfId="1" applyNumberFormat="1" applyFont="1" applyFill="1" applyBorder="1" applyAlignment="1" applyProtection="1">
      <alignment horizontal="center" vertical="center"/>
      <protection locked="0"/>
    </xf>
    <xf numFmtId="0" fontId="19" fillId="4" borderId="19"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19" fillId="4" borderId="16" xfId="0" applyFont="1" applyFill="1" applyBorder="1" applyAlignment="1" applyProtection="1">
      <alignment horizontal="center" vertical="center" wrapText="1"/>
    </xf>
    <xf numFmtId="180" fontId="20" fillId="0" borderId="5" xfId="1" applyNumberFormat="1" applyFont="1" applyFill="1" applyBorder="1" applyAlignment="1" applyProtection="1">
      <alignment horizontal="center" vertical="center"/>
      <protection locked="0"/>
    </xf>
    <xf numFmtId="180" fontId="20" fillId="0" borderId="7" xfId="1" applyNumberFormat="1" applyFont="1" applyFill="1" applyBorder="1" applyAlignment="1" applyProtection="1">
      <alignment horizontal="center" vertical="center"/>
      <protection locked="0"/>
    </xf>
    <xf numFmtId="180" fontId="20" fillId="0" borderId="0" xfId="1" applyNumberFormat="1" applyFont="1" applyFill="1" applyBorder="1" applyAlignment="1" applyProtection="1">
      <alignment horizontal="center" vertical="center"/>
      <protection locked="0"/>
    </xf>
    <xf numFmtId="180" fontId="20" fillId="0" borderId="1" xfId="1" applyNumberFormat="1" applyFont="1" applyFill="1" applyBorder="1" applyAlignment="1" applyProtection="1">
      <alignment horizontal="center" vertical="center"/>
      <protection locked="0"/>
    </xf>
    <xf numFmtId="0" fontId="19" fillId="4" borderId="0" xfId="0" applyFont="1" applyFill="1" applyAlignment="1" applyProtection="1">
      <alignment horizontal="center" vertical="center" textRotation="90"/>
    </xf>
    <xf numFmtId="0" fontId="16" fillId="0" borderId="0" xfId="0" applyFont="1" applyAlignment="1" applyProtection="1">
      <alignment horizontal="right" vertical="center"/>
    </xf>
    <xf numFmtId="0" fontId="9" fillId="4" borderId="0" xfId="0" applyFont="1" applyFill="1" applyBorder="1" applyAlignment="1" applyProtection="1">
      <alignment horizontal="center" vertical="center"/>
    </xf>
    <xf numFmtId="0" fontId="9" fillId="0" borderId="0" xfId="0" applyFont="1" applyFill="1" applyBorder="1" applyAlignment="1" applyProtection="1">
      <alignment horizontal="center"/>
    </xf>
    <xf numFmtId="0" fontId="9" fillId="4" borderId="15"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0" xfId="0" applyFont="1" applyFill="1" applyAlignment="1">
      <alignment horizontal="right"/>
    </xf>
    <xf numFmtId="0" fontId="13" fillId="6" borderId="9"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13" fillId="6" borderId="10"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7" fillId="3" borderId="0" xfId="0" applyFont="1" applyFill="1" applyAlignment="1">
      <alignment horizontal="center"/>
    </xf>
    <xf numFmtId="0" fontId="17" fillId="10" borderId="9" xfId="0" applyFont="1" applyFill="1" applyBorder="1" applyAlignment="1">
      <alignment horizontal="center" vertical="center"/>
    </xf>
    <xf numFmtId="0" fontId="17" fillId="10" borderId="11" xfId="0" applyFont="1" applyFill="1" applyBorder="1" applyAlignment="1">
      <alignment horizontal="center" vertical="center"/>
    </xf>
    <xf numFmtId="0" fontId="17" fillId="10" borderId="10"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0" xfId="0" applyFont="1" applyFill="1" applyBorder="1" applyAlignment="1">
      <alignment horizontal="center" vertical="center"/>
    </xf>
    <xf numFmtId="0" fontId="17" fillId="11" borderId="5" xfId="0" applyFont="1" applyFill="1" applyBorder="1" applyAlignment="1">
      <alignment horizontal="center" vertical="center"/>
    </xf>
    <xf numFmtId="0" fontId="17" fillId="11" borderId="0" xfId="0" applyFont="1" applyFill="1" applyBorder="1" applyAlignment="1">
      <alignment horizontal="center" vertical="center"/>
    </xf>
    <xf numFmtId="0" fontId="18" fillId="12" borderId="9" xfId="0" applyFont="1" applyFill="1" applyBorder="1"/>
    <xf numFmtId="0" fontId="18" fillId="0" borderId="9" xfId="0" applyFont="1" applyBorder="1"/>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latin typeface="Segoe UI" panose="020B0502040204020203" pitchFamily="34" charset="0"/>
                <a:cs typeface="Segoe UI" panose="020B0502040204020203" pitchFamily="34" charset="0"/>
              </a:rPr>
              <a:t>Revenue Composition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tx>
            <c:strRef>
              <c:f>'Key Variables'!$G$63:$H$63</c:f>
              <c:strCache>
                <c:ptCount val="2"/>
                <c:pt idx="0">
                  <c:v>Recurring</c:v>
                </c:pt>
              </c:strCache>
            </c:strRef>
          </c:tx>
          <c:spPr>
            <a:solidFill>
              <a:schemeClr val="accent1"/>
            </a:solidFill>
            <a:ln>
              <a:noFill/>
            </a:ln>
            <a:effectLst/>
          </c:spPr>
          <c:invertIfNegative val="0"/>
          <c:cat>
            <c:numRef>
              <c:f>'Key Variables'!$I$62:$L$62</c:f>
              <c:numCache>
                <c:formatCode>General</c:formatCode>
                <c:ptCount val="4"/>
                <c:pt idx="0">
                  <c:v>1</c:v>
                </c:pt>
                <c:pt idx="1">
                  <c:v>2</c:v>
                </c:pt>
                <c:pt idx="2">
                  <c:v>3</c:v>
                </c:pt>
                <c:pt idx="3">
                  <c:v>4</c:v>
                </c:pt>
              </c:numCache>
            </c:numRef>
          </c:cat>
          <c:val>
            <c:numRef>
              <c:f>'Key Variables'!$I$63:$L$63</c:f>
              <c:numCache>
                <c:formatCode>"$"#,##0</c:formatCode>
                <c:ptCount val="4"/>
                <c:pt idx="0">
                  <c:v>182081.25</c:v>
                </c:pt>
                <c:pt idx="1">
                  <c:v>578925.00000000023</c:v>
                </c:pt>
                <c:pt idx="2">
                  <c:v>1087818.7500000005</c:v>
                </c:pt>
                <c:pt idx="3">
                  <c:v>1708762.5000000002</c:v>
                </c:pt>
              </c:numCache>
            </c:numRef>
          </c:val>
          <c:extLst>
            <c:ext xmlns:c16="http://schemas.microsoft.com/office/drawing/2014/chart" uri="{C3380CC4-5D6E-409C-BE32-E72D297353CC}">
              <c16:uniqueId val="{00000000-59DC-4F61-9532-405E52809F76}"/>
            </c:ext>
          </c:extLst>
        </c:ser>
        <c:ser>
          <c:idx val="1"/>
          <c:order val="1"/>
          <c:tx>
            <c:strRef>
              <c:f>'Key Variables'!$G$64:$H$64</c:f>
              <c:strCache>
                <c:ptCount val="2"/>
                <c:pt idx="0">
                  <c:v>Non-Recurring</c:v>
                </c:pt>
              </c:strCache>
            </c:strRef>
          </c:tx>
          <c:spPr>
            <a:solidFill>
              <a:schemeClr val="accent2"/>
            </a:solidFill>
            <a:ln>
              <a:noFill/>
            </a:ln>
            <a:effectLst/>
          </c:spPr>
          <c:invertIfNegative val="0"/>
          <c:cat>
            <c:numRef>
              <c:f>'Key Variables'!$I$62:$L$62</c:f>
              <c:numCache>
                <c:formatCode>General</c:formatCode>
                <c:ptCount val="4"/>
                <c:pt idx="0">
                  <c:v>1</c:v>
                </c:pt>
                <c:pt idx="1">
                  <c:v>2</c:v>
                </c:pt>
                <c:pt idx="2">
                  <c:v>3</c:v>
                </c:pt>
                <c:pt idx="3">
                  <c:v>4</c:v>
                </c:pt>
              </c:numCache>
            </c:numRef>
          </c:cat>
          <c:val>
            <c:numRef>
              <c:f>'Key Variables'!$I$64:$L$64</c:f>
              <c:numCache>
                <c:formatCode>"$"#,##0</c:formatCode>
                <c:ptCount val="4"/>
                <c:pt idx="0">
                  <c:v>305468.75</c:v>
                </c:pt>
                <c:pt idx="1">
                  <c:v>440885.41666666663</c:v>
                </c:pt>
                <c:pt idx="2">
                  <c:v>591406.25000000023</c:v>
                </c:pt>
                <c:pt idx="3" formatCode="&quot;$&quot;#,##0;[Red]\-&quot;$&quot;#,##0">
                  <c:v>754427.08333333337</c:v>
                </c:pt>
              </c:numCache>
            </c:numRef>
          </c:val>
          <c:extLst>
            <c:ext xmlns:c16="http://schemas.microsoft.com/office/drawing/2014/chart" uri="{C3380CC4-5D6E-409C-BE32-E72D297353CC}">
              <c16:uniqueId val="{00000001-59DC-4F61-9532-405E52809F76}"/>
            </c:ext>
          </c:extLst>
        </c:ser>
        <c:dLbls>
          <c:showLegendKey val="0"/>
          <c:showVal val="0"/>
          <c:showCatName val="0"/>
          <c:showSerName val="0"/>
          <c:showPercent val="0"/>
          <c:showBubbleSize val="0"/>
        </c:dLbls>
        <c:gapWidth val="150"/>
        <c:overlap val="100"/>
        <c:axId val="-625588608"/>
        <c:axId val="-625584800"/>
      </c:barChart>
      <c:catAx>
        <c:axId val="-625588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625584800"/>
        <c:crosses val="autoZero"/>
        <c:auto val="1"/>
        <c:lblAlgn val="ctr"/>
        <c:lblOffset val="100"/>
        <c:noMultiLvlLbl val="0"/>
      </c:catAx>
      <c:valAx>
        <c:axId val="-62558480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625588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baseline="0">
                <a:latin typeface="Segoe UI" panose="020B0502040204020203" pitchFamily="34" charset="0"/>
                <a:cs typeface="Segoe UI" panose="020B0502040204020203" pitchFamily="34" charset="0"/>
              </a:rPr>
              <a:t>Approximate Valuation Impact</a:t>
            </a:r>
            <a:endParaRPr lang="en-US">
              <a:latin typeface="Segoe UI" panose="020B0502040204020203" pitchFamily="34" charset="0"/>
              <a:cs typeface="Segoe UI" panose="020B0502040204020203"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clustered"/>
        <c:varyColors val="0"/>
        <c:ser>
          <c:idx val="1"/>
          <c:order val="1"/>
          <c:spPr>
            <a:solidFill>
              <a:srgbClr val="00B050"/>
            </a:solidFill>
            <a:ln>
              <a:noFill/>
            </a:ln>
            <a:effectLst/>
          </c:spPr>
          <c:invertIfNegative val="0"/>
          <c:val>
            <c:numRef>
              <c:f>'Key Variables'!$I$78:$L$78</c:f>
              <c:numCache>
                <c:formatCode>"$"#,##0;[Red]\-"$"#,##0</c:formatCode>
                <c:ptCount val="4"/>
                <c:pt idx="0">
                  <c:v>413322.65625</c:v>
                </c:pt>
                <c:pt idx="1">
                  <c:v>1035721.0937500006</c:v>
                </c:pt>
                <c:pt idx="2">
                  <c:v>1821711.7187500009</c:v>
                </c:pt>
                <c:pt idx="3">
                  <c:v>2769927.3437499995</c:v>
                </c:pt>
              </c:numCache>
            </c:numRef>
          </c:val>
          <c:extLst>
            <c:ext xmlns:c16="http://schemas.microsoft.com/office/drawing/2014/chart" uri="{C3380CC4-5D6E-409C-BE32-E72D297353CC}">
              <c16:uniqueId val="{00000000-054E-40AF-AE24-66F5CB877E4B}"/>
            </c:ext>
          </c:extLst>
        </c:ser>
        <c:dLbls>
          <c:showLegendKey val="0"/>
          <c:showVal val="0"/>
          <c:showCatName val="0"/>
          <c:showSerName val="0"/>
          <c:showPercent val="0"/>
          <c:showBubbleSize val="0"/>
        </c:dLbls>
        <c:gapWidth val="150"/>
        <c:axId val="-625582624"/>
        <c:axId val="-722022608"/>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'Key Variables'!$I$75:$L$75</c15:sqref>
                        </c15:formulaRef>
                      </c:ext>
                    </c:extLst>
                    <c:numCache>
                      <c:formatCode>General</c:formatCode>
                      <c:ptCount val="4"/>
                      <c:pt idx="0">
                        <c:v>1</c:v>
                      </c:pt>
                      <c:pt idx="1">
                        <c:v>2</c:v>
                      </c:pt>
                      <c:pt idx="2">
                        <c:v>3</c:v>
                      </c:pt>
                      <c:pt idx="3">
                        <c:v>4</c:v>
                      </c:pt>
                    </c:numCache>
                  </c:numRef>
                </c:val>
                <c:extLst>
                  <c:ext xmlns:c16="http://schemas.microsoft.com/office/drawing/2014/chart" uri="{C3380CC4-5D6E-409C-BE32-E72D297353CC}">
                    <c16:uniqueId val="{00000001-054E-40AF-AE24-66F5CB877E4B}"/>
                  </c:ext>
                </c:extLst>
              </c15:ser>
            </c15:filteredBarSeries>
          </c:ext>
        </c:extLst>
      </c:barChart>
      <c:catAx>
        <c:axId val="-625582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latin typeface="Segoe UI" panose="020B0502040204020203" pitchFamily="34" charset="0"/>
                    <a:cs typeface="Segoe UI" panose="020B0502040204020203" pitchFamily="34" charset="0"/>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722022608"/>
        <c:crossesAt val="0"/>
        <c:auto val="1"/>
        <c:lblAlgn val="ctr"/>
        <c:lblOffset val="100"/>
        <c:noMultiLvlLbl val="0"/>
      </c:catAx>
      <c:valAx>
        <c:axId val="-72202260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625582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b="1">
                <a:latin typeface="Segoe UI" panose="020B0502040204020203" pitchFamily="34" charset="0"/>
                <a:cs typeface="Segoe UI" panose="020B0502040204020203" pitchFamily="34" charset="0"/>
              </a:rPr>
              <a:t>Total Users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bar"/>
        <c:grouping val="clustered"/>
        <c:varyColors val="0"/>
        <c:ser>
          <c:idx val="0"/>
          <c:order val="0"/>
          <c:tx>
            <c:strRef>
              <c:f>Users!$B$38</c:f>
              <c:strCache>
                <c:ptCount val="1"/>
                <c:pt idx="0">
                  <c:v>IP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Users!$C$37:$F$37</c:f>
              <c:numCache>
                <c:formatCode>General</c:formatCode>
                <c:ptCount val="4"/>
                <c:pt idx="0">
                  <c:v>1</c:v>
                </c:pt>
                <c:pt idx="1">
                  <c:v>2</c:v>
                </c:pt>
                <c:pt idx="2">
                  <c:v>3</c:v>
                </c:pt>
                <c:pt idx="3">
                  <c:v>4</c:v>
                </c:pt>
              </c:numCache>
            </c:numRef>
          </c:cat>
          <c:val>
            <c:numRef>
              <c:f>Users!$C$38:$F$38</c:f>
              <c:numCache>
                <c:formatCode>#,##0</c:formatCode>
                <c:ptCount val="4"/>
                <c:pt idx="0">
                  <c:v>75</c:v>
                </c:pt>
                <c:pt idx="1">
                  <c:v>175.00000000000003</c:v>
                </c:pt>
                <c:pt idx="2">
                  <c:v>300.00000000000017</c:v>
                </c:pt>
                <c:pt idx="3">
                  <c:v>450.00000000000023</c:v>
                </c:pt>
              </c:numCache>
            </c:numRef>
          </c:val>
          <c:extLst>
            <c:ext xmlns:c16="http://schemas.microsoft.com/office/drawing/2014/chart" uri="{C3380CC4-5D6E-409C-BE32-E72D297353CC}">
              <c16:uniqueId val="{00000000-A221-4D2E-83AC-8593BFCDF5D2}"/>
            </c:ext>
          </c:extLst>
        </c:ser>
        <c:ser>
          <c:idx val="2"/>
          <c:order val="2"/>
          <c:tx>
            <c:strRef>
              <c:f>Users!$B$40</c:f>
              <c:strCache>
                <c:ptCount val="1"/>
                <c:pt idx="0">
                  <c:v>CRM Online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Users!$C$37:$F$37</c:f>
              <c:numCache>
                <c:formatCode>General</c:formatCode>
                <c:ptCount val="4"/>
                <c:pt idx="0">
                  <c:v>1</c:v>
                </c:pt>
                <c:pt idx="1">
                  <c:v>2</c:v>
                </c:pt>
                <c:pt idx="2">
                  <c:v>3</c:v>
                </c:pt>
                <c:pt idx="3">
                  <c:v>4</c:v>
                </c:pt>
              </c:numCache>
            </c:numRef>
          </c:cat>
          <c:val>
            <c:numRef>
              <c:f>Users!$C$40:$F$40</c:f>
              <c:numCache>
                <c:formatCode>#,##0</c:formatCode>
                <c:ptCount val="4"/>
                <c:pt idx="0">
                  <c:v>300</c:v>
                </c:pt>
                <c:pt idx="1">
                  <c:v>700.00000000000011</c:v>
                </c:pt>
                <c:pt idx="2">
                  <c:v>1200.0000000000007</c:v>
                </c:pt>
                <c:pt idx="3">
                  <c:v>1800.0000000000009</c:v>
                </c:pt>
              </c:numCache>
            </c:numRef>
          </c:val>
          <c:extLst>
            <c:ext xmlns:c16="http://schemas.microsoft.com/office/drawing/2014/chart" uri="{C3380CC4-5D6E-409C-BE32-E72D297353CC}">
              <c16:uniqueId val="{00000001-A221-4D2E-83AC-8593BFCDF5D2}"/>
            </c:ext>
          </c:extLst>
        </c:ser>
        <c:ser>
          <c:idx val="3"/>
          <c:order val="3"/>
          <c:tx>
            <c:strRef>
              <c:f>Users!$B$41</c:f>
              <c:strCache>
                <c:ptCount val="1"/>
                <c:pt idx="0">
                  <c:v>Managed Services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Users!$C$37:$F$37</c:f>
              <c:numCache>
                <c:formatCode>General</c:formatCode>
                <c:ptCount val="4"/>
                <c:pt idx="0">
                  <c:v>1</c:v>
                </c:pt>
                <c:pt idx="1">
                  <c:v>2</c:v>
                </c:pt>
                <c:pt idx="2">
                  <c:v>3</c:v>
                </c:pt>
                <c:pt idx="3">
                  <c:v>4</c:v>
                </c:pt>
              </c:numCache>
            </c:numRef>
          </c:cat>
          <c:val>
            <c:numRef>
              <c:f>Users!$C$41:$F$41</c:f>
              <c:numCache>
                <c:formatCode>#,##0</c:formatCode>
                <c:ptCount val="4"/>
                <c:pt idx="0">
                  <c:v>150</c:v>
                </c:pt>
                <c:pt idx="1">
                  <c:v>350.00000000000006</c:v>
                </c:pt>
                <c:pt idx="2">
                  <c:v>600.00000000000034</c:v>
                </c:pt>
                <c:pt idx="3">
                  <c:v>900.00000000000045</c:v>
                </c:pt>
              </c:numCache>
            </c:numRef>
          </c:val>
          <c:extLst>
            <c:ext xmlns:c16="http://schemas.microsoft.com/office/drawing/2014/chart" uri="{C3380CC4-5D6E-409C-BE32-E72D297353CC}">
              <c16:uniqueId val="{00000002-A221-4D2E-83AC-8593BFCDF5D2}"/>
            </c:ext>
          </c:extLst>
        </c:ser>
        <c:dLbls>
          <c:showLegendKey val="0"/>
          <c:showVal val="0"/>
          <c:showCatName val="0"/>
          <c:showSerName val="0"/>
          <c:showPercent val="0"/>
          <c:showBubbleSize val="0"/>
        </c:dLbls>
        <c:gapWidth val="150"/>
        <c:axId val="-444163760"/>
        <c:axId val="-444156688"/>
        <c:extLst>
          <c:ext xmlns:c15="http://schemas.microsoft.com/office/drawing/2012/chart" uri="{02D57815-91ED-43cb-92C2-25804820EDAC}">
            <c15:filteredBarSeries>
              <c15:ser>
                <c:idx val="1"/>
                <c:order val="1"/>
                <c:tx>
                  <c:strRef>
                    <c:extLst>
                      <c:ext uri="{02D57815-91ED-43cb-92C2-25804820EDAC}">
                        <c15:formulaRef>
                          <c15:sqref>Users!$B$39</c15:sqref>
                        </c15:formulaRef>
                      </c:ext>
                    </c:extLst>
                    <c:strCache>
                      <c:ptCount val="1"/>
                      <c:pt idx="0">
                        <c:v>O365</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Users!$C$37:$F$37</c15:sqref>
                        </c15:formulaRef>
                      </c:ext>
                    </c:extLst>
                    <c:numCache>
                      <c:formatCode>General</c:formatCode>
                      <c:ptCount val="4"/>
                      <c:pt idx="0">
                        <c:v>1</c:v>
                      </c:pt>
                      <c:pt idx="1">
                        <c:v>2</c:v>
                      </c:pt>
                      <c:pt idx="2">
                        <c:v>3</c:v>
                      </c:pt>
                      <c:pt idx="3">
                        <c:v>4</c:v>
                      </c:pt>
                    </c:numCache>
                  </c:numRef>
                </c:cat>
                <c:val>
                  <c:numRef>
                    <c:extLst>
                      <c:ext uri="{02D57815-91ED-43cb-92C2-25804820EDAC}">
                        <c15:formulaRef>
                          <c15:sqref>Users!$C$39:$F$39</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3-A221-4D2E-83AC-8593BFCDF5D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Users!$B$42</c15:sqref>
                        </c15:formulaRef>
                      </c:ext>
                    </c:extLst>
                    <c:strCache>
                      <c:ptCount val="1"/>
                      <c:pt idx="0">
                        <c:v>Azure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Users!$C$37:$F$37</c15:sqref>
                        </c15:formulaRef>
                      </c:ext>
                    </c:extLst>
                    <c:numCache>
                      <c:formatCode>General</c:formatCode>
                      <c:ptCount val="4"/>
                      <c:pt idx="0">
                        <c:v>1</c:v>
                      </c:pt>
                      <c:pt idx="1">
                        <c:v>2</c:v>
                      </c:pt>
                      <c:pt idx="2">
                        <c:v>3</c:v>
                      </c:pt>
                      <c:pt idx="3">
                        <c:v>4</c:v>
                      </c:pt>
                    </c:numCache>
                  </c:numRef>
                </c:cat>
                <c:val>
                  <c:numRef>
                    <c:extLst xmlns:c15="http://schemas.microsoft.com/office/drawing/2012/chart">
                      <c:ext xmlns:c15="http://schemas.microsoft.com/office/drawing/2012/chart" uri="{02D57815-91ED-43cb-92C2-25804820EDAC}">
                        <c15:formulaRef>
                          <c15:sqref>Users!$C$42:$F$42</c15:sqref>
                        </c15:formulaRef>
                      </c:ext>
                    </c:extLst>
                    <c:numCache>
                      <c:formatCode>#,##0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4-A221-4D2E-83AC-8593BFCDF5D2}"/>
                  </c:ext>
                </c:extLst>
              </c15:ser>
            </c15:filteredBarSeries>
          </c:ext>
        </c:extLst>
      </c:barChart>
      <c:catAx>
        <c:axId val="-444163760"/>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sz="1400" b="1">
                    <a:latin typeface="Segoe UI" panose="020B0502040204020203" pitchFamily="34" charset="0"/>
                    <a:cs typeface="Segoe UI" panose="020B0502040204020203" pitchFamily="34" charset="0"/>
                  </a:rPr>
                  <a:t>Year</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156688"/>
        <c:crosses val="autoZero"/>
        <c:auto val="1"/>
        <c:lblAlgn val="ctr"/>
        <c:lblOffset val="100"/>
        <c:noMultiLvlLbl val="0"/>
      </c:catAx>
      <c:valAx>
        <c:axId val="-444156688"/>
        <c:scaling>
          <c:orientation val="minMax"/>
        </c:scaling>
        <c:delete val="1"/>
        <c:axPos val="b"/>
        <c:numFmt formatCode="#,##0" sourceLinked="1"/>
        <c:majorTickMark val="none"/>
        <c:minorTickMark val="none"/>
        <c:tickLblPos val="nextTo"/>
        <c:crossAx val="-444163760"/>
        <c:crosses val="autoZero"/>
        <c:crossBetween val="between"/>
      </c:valAx>
      <c:spPr>
        <a:noFill/>
        <a:ln>
          <a:noFill/>
        </a:ln>
        <a:effectLst/>
      </c:spPr>
    </c:plotArea>
    <c:legend>
      <c:legendPos val="b"/>
      <c:layout>
        <c:manualLayout>
          <c:xMode val="edge"/>
          <c:yMode val="edge"/>
          <c:x val="0.77136161531429459"/>
          <c:y val="0.93982334172597715"/>
          <c:w val="0.22863837514878835"/>
          <c:h val="3.71348014396896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lumMod val="50000"/>
                  </a:schemeClr>
                </a:solidFill>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Cumulative Cash Flow</a:t>
            </a:r>
          </a:p>
        </c:rich>
      </c:tx>
      <c:layout>
        <c:manualLayout>
          <c:xMode val="edge"/>
          <c:yMode val="edge"/>
          <c:x val="0.31345695716877175"/>
          <c:y val="0.21342512908777969"/>
        </c:manualLayout>
      </c:layout>
      <c:overlay val="0"/>
    </c:title>
    <c:autoTitleDeleted val="0"/>
    <c:plotArea>
      <c:layout>
        <c:manualLayout>
          <c:layoutTarget val="inner"/>
          <c:xMode val="edge"/>
          <c:yMode val="edge"/>
          <c:x val="6.1898466325320235E-2"/>
          <c:y val="2.5304888171029903E-2"/>
          <c:w val="0.93619047051366877"/>
          <c:h val="0.8552995333414648"/>
        </c:manualLayout>
      </c:layout>
      <c:barChart>
        <c:barDir val="col"/>
        <c:grouping val="clustered"/>
        <c:varyColors val="0"/>
        <c:ser>
          <c:idx val="1"/>
          <c:order val="0"/>
          <c:tx>
            <c:strRef>
              <c:f>'Cash Flow'!$B$45</c:f>
              <c:strCache>
                <c:ptCount val="1"/>
                <c:pt idx="0">
                  <c:v>Monthly Cumulative Cash Flow</c:v>
                </c:pt>
              </c:strCache>
            </c:strRef>
          </c:tx>
          <c:spPr>
            <a:ln w="25400">
              <a:noFill/>
            </a:ln>
          </c:spPr>
          <c:invertIfNegative val="0"/>
          <c:val>
            <c:numRef>
              <c:f>'Cash Flow'!$C$45:$AX$45</c:f>
              <c:numCache>
                <c:formatCode>"$"#,##0</c:formatCode>
                <c:ptCount val="48"/>
                <c:pt idx="0">
                  <c:v>-6956.8229166666679</c:v>
                </c:pt>
                <c:pt idx="1">
                  <c:v>-13265.052083333336</c:v>
                </c:pt>
                <c:pt idx="2">
                  <c:v>-18924.687500000004</c:v>
                </c:pt>
                <c:pt idx="3">
                  <c:v>-23935.729166666672</c:v>
                </c:pt>
                <c:pt idx="4">
                  <c:v>-28298.177083333339</c:v>
                </c:pt>
                <c:pt idx="5">
                  <c:v>-32012.031250000007</c:v>
                </c:pt>
                <c:pt idx="6">
                  <c:v>-34986.145833333336</c:v>
                </c:pt>
                <c:pt idx="7">
                  <c:v>-37220.520833333343</c:v>
                </c:pt>
                <c:pt idx="8">
                  <c:v>-38715.156250000015</c:v>
                </c:pt>
                <c:pt idx="9">
                  <c:v>-39470.052083333343</c:v>
                </c:pt>
                <c:pt idx="10">
                  <c:v>-39485.208333333343</c:v>
                </c:pt>
                <c:pt idx="11">
                  <c:v>-38760.625000000015</c:v>
                </c:pt>
                <c:pt idx="12">
                  <c:v>-43220.737847222241</c:v>
                </c:pt>
                <c:pt idx="13">
                  <c:v>-46724.91319444446</c:v>
                </c:pt>
                <c:pt idx="14">
                  <c:v>-49273.151041666679</c:v>
                </c:pt>
                <c:pt idx="15">
                  <c:v>-50865.451388888912</c:v>
                </c:pt>
                <c:pt idx="16">
                  <c:v>-51501.814236111131</c:v>
                </c:pt>
                <c:pt idx="17">
                  <c:v>-51182.23958333335</c:v>
                </c:pt>
                <c:pt idx="18">
                  <c:v>-49876.345486111139</c:v>
                </c:pt>
                <c:pt idx="19">
                  <c:v>-47584.131944444453</c:v>
                </c:pt>
                <c:pt idx="20">
                  <c:v>-44305.598958333336</c:v>
                </c:pt>
                <c:pt idx="21">
                  <c:v>-40040.746527777788</c:v>
                </c:pt>
                <c:pt idx="22">
                  <c:v>-34789.574652777788</c:v>
                </c:pt>
                <c:pt idx="23">
                  <c:v>-28552.083333333336</c:v>
                </c:pt>
                <c:pt idx="24">
                  <c:v>-24936.440972222226</c:v>
                </c:pt>
                <c:pt idx="25">
                  <c:v>-20118.281250000007</c:v>
                </c:pt>
                <c:pt idx="26">
                  <c:v>-14097.604166666679</c:v>
                </c:pt>
                <c:pt idx="27">
                  <c:v>-6874.4097222222554</c:v>
                </c:pt>
                <c:pt idx="28">
                  <c:v>1551.3020833332921</c:v>
                </c:pt>
                <c:pt idx="29">
                  <c:v>11179.531249999935</c:v>
                </c:pt>
                <c:pt idx="30">
                  <c:v>22040.659722222168</c:v>
                </c:pt>
                <c:pt idx="31">
                  <c:v>34134.687499999935</c:v>
                </c:pt>
                <c:pt idx="32">
                  <c:v>47461.614583333263</c:v>
                </c:pt>
                <c:pt idx="33">
                  <c:v>62021.440972222154</c:v>
                </c:pt>
                <c:pt idx="34">
                  <c:v>77814.166666666599</c:v>
                </c:pt>
                <c:pt idx="35">
                  <c:v>94839.791666666599</c:v>
                </c:pt>
                <c:pt idx="36">
                  <c:v>113428.39409722216</c:v>
                </c:pt>
                <c:pt idx="37">
                  <c:v>133466.09374999994</c:v>
                </c:pt>
                <c:pt idx="38">
                  <c:v>154952.89062499994</c:v>
                </c:pt>
                <c:pt idx="39">
                  <c:v>177888.78472222216</c:v>
                </c:pt>
                <c:pt idx="40">
                  <c:v>202273.7760416666</c:v>
                </c:pt>
                <c:pt idx="41">
                  <c:v>228107.86458333326</c:v>
                </c:pt>
                <c:pt idx="42">
                  <c:v>255421.43229166657</c:v>
                </c:pt>
                <c:pt idx="43">
                  <c:v>284214.47916666657</c:v>
                </c:pt>
                <c:pt idx="44">
                  <c:v>314487.00520833326</c:v>
                </c:pt>
                <c:pt idx="45">
                  <c:v>346239.01041666663</c:v>
                </c:pt>
                <c:pt idx="46">
                  <c:v>379470.49479166663</c:v>
                </c:pt>
                <c:pt idx="47">
                  <c:v>414181.45833333331</c:v>
                </c:pt>
              </c:numCache>
            </c:numRef>
          </c:val>
          <c:extLst>
            <c:ext xmlns:c16="http://schemas.microsoft.com/office/drawing/2014/chart" uri="{C3380CC4-5D6E-409C-BE32-E72D297353CC}">
              <c16:uniqueId val="{00000000-2746-48E6-B4C3-E56AE369F216}"/>
            </c:ext>
          </c:extLst>
        </c:ser>
        <c:dLbls>
          <c:showLegendKey val="0"/>
          <c:showVal val="0"/>
          <c:showCatName val="0"/>
          <c:showSerName val="0"/>
          <c:showPercent val="0"/>
          <c:showBubbleSize val="0"/>
        </c:dLbls>
        <c:gapWidth val="150"/>
        <c:axId val="-444158864"/>
        <c:axId val="-444155056"/>
      </c:barChart>
      <c:catAx>
        <c:axId val="-444158864"/>
        <c:scaling>
          <c:orientation val="minMax"/>
        </c:scaling>
        <c:delete val="0"/>
        <c:axPos val="b"/>
        <c:title>
          <c:tx>
            <c:rich>
              <a:bodyPr/>
              <a:lstStyle/>
              <a:p>
                <a:pPr>
                  <a:defRPr>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Month</a:t>
                </a:r>
              </a:p>
            </c:rich>
          </c:tx>
          <c:layout>
            <c:manualLayout>
              <c:xMode val="edge"/>
              <c:yMode val="edge"/>
              <c:x val="0.47068318958237715"/>
              <c:y val="0.93762460415339643"/>
            </c:manualLayout>
          </c:layout>
          <c:overlay val="0"/>
        </c:title>
        <c:majorTickMark val="out"/>
        <c:minorTickMark val="none"/>
        <c:tickLblPos val="nextTo"/>
        <c:txPr>
          <a:bodyPr/>
          <a:lstStyle/>
          <a:p>
            <a:pPr>
              <a:defRPr>
                <a:latin typeface="Segoe UI" panose="020B0502040204020203" pitchFamily="34" charset="0"/>
                <a:cs typeface="Segoe UI" panose="020B0502040204020203" pitchFamily="34" charset="0"/>
              </a:defRPr>
            </a:pPr>
            <a:endParaRPr lang="en-US"/>
          </a:p>
        </c:txPr>
        <c:crossAx val="-444155056"/>
        <c:crosses val="autoZero"/>
        <c:auto val="1"/>
        <c:lblAlgn val="ctr"/>
        <c:lblOffset val="100"/>
        <c:noMultiLvlLbl val="0"/>
      </c:catAx>
      <c:valAx>
        <c:axId val="-444155056"/>
        <c:scaling>
          <c:orientation val="minMax"/>
        </c:scaling>
        <c:delete val="0"/>
        <c:axPos val="l"/>
        <c:numFmt formatCode="&quot;$&quot;#,##0" sourceLinked="0"/>
        <c:majorTickMark val="out"/>
        <c:minorTickMark val="none"/>
        <c:tickLblPos val="nextTo"/>
        <c:txPr>
          <a:bodyPr/>
          <a:lstStyle/>
          <a:p>
            <a:pPr>
              <a:defRPr>
                <a:latin typeface="Segoe UI" panose="020B0502040204020203" pitchFamily="34" charset="0"/>
                <a:cs typeface="Segoe UI" panose="020B0502040204020203" pitchFamily="34" charset="0"/>
              </a:defRPr>
            </a:pPr>
            <a:endParaRPr lang="en-US"/>
          </a:p>
        </c:txPr>
        <c:crossAx val="-44415886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6.9515908212272631E-2"/>
          <c:y val="7.508090614886731E-2"/>
          <c:w val="0.86397784535676325"/>
          <c:h val="0.81086950538949609"/>
        </c:manualLayout>
      </c:layout>
      <c:bar3DChart>
        <c:barDir val="bar"/>
        <c:grouping val="stacked"/>
        <c:varyColors val="0"/>
        <c:ser>
          <c:idx val="0"/>
          <c:order val="0"/>
          <c:tx>
            <c:strRef>
              <c:f>Resourcing!$B$36</c:f>
              <c:strCache>
                <c:ptCount val="1"/>
                <c:pt idx="0">
                  <c:v>Project Services</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86-4EF5-AFC8-0B938C9A901C}"/>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86-4EF5-AFC8-0B938C9A901C}"/>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86-4EF5-AFC8-0B938C9A901C}"/>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86-4EF5-AFC8-0B938C9A901C}"/>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86-4EF5-AFC8-0B938C9A901C}"/>
                </c:ext>
              </c:extLst>
            </c:dLbl>
            <c:spPr>
              <a:noFill/>
              <a:ln>
                <a:noFill/>
              </a:ln>
              <a:effectLst/>
            </c:spPr>
            <c:txPr>
              <a:bodyPr wrap="square" lIns="38100" tIns="19050" rIns="38100" bIns="19050" anchor="ctr">
                <a:spAutoFit/>
              </a:bodyPr>
              <a:lstStyle/>
              <a:p>
                <a:pPr>
                  <a:defRPr>
                    <a:latin typeface="Segoe UI" panose="020B0502040204020203" pitchFamily="34" charset="0"/>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Resourcing!$C$35:$F$35</c:f>
              <c:numCache>
                <c:formatCode>General</c:formatCode>
                <c:ptCount val="4"/>
                <c:pt idx="0">
                  <c:v>1</c:v>
                </c:pt>
                <c:pt idx="1">
                  <c:v>2</c:v>
                </c:pt>
                <c:pt idx="2">
                  <c:v>3</c:v>
                </c:pt>
                <c:pt idx="3">
                  <c:v>4</c:v>
                </c:pt>
              </c:numCache>
            </c:numRef>
          </c:cat>
          <c:val>
            <c:numRef>
              <c:f>Resourcing!$C$36:$F$36</c:f>
              <c:numCache>
                <c:formatCode>0.0</c:formatCode>
                <c:ptCount val="4"/>
                <c:pt idx="0">
                  <c:v>2.6473958333333334</c:v>
                </c:pt>
                <c:pt idx="1">
                  <c:v>3.8210069444444441</c:v>
                </c:pt>
                <c:pt idx="2">
                  <c:v>5.1255208333333337</c:v>
                </c:pt>
                <c:pt idx="3">
                  <c:v>6.5383680555555568</c:v>
                </c:pt>
              </c:numCache>
            </c:numRef>
          </c:val>
          <c:extLst>
            <c:ext xmlns:c16="http://schemas.microsoft.com/office/drawing/2014/chart" uri="{C3380CC4-5D6E-409C-BE32-E72D297353CC}">
              <c16:uniqueId val="{00000005-6386-4EF5-AFC8-0B938C9A901C}"/>
            </c:ext>
          </c:extLst>
        </c:ser>
        <c:ser>
          <c:idx val="1"/>
          <c:order val="1"/>
          <c:tx>
            <c:strRef>
              <c:f>Resourcing!$B$37</c:f>
              <c:strCache>
                <c:ptCount val="1"/>
                <c:pt idx="0">
                  <c:v>Managed Services</c:v>
                </c:pt>
              </c:strCache>
            </c:strRef>
          </c:tx>
          <c:invertIfNegative val="0"/>
          <c:dLbls>
            <c:dLbl>
              <c:idx val="0"/>
              <c:layout>
                <c:manualLayout>
                  <c:x val="5.6722010758113108E-4"/>
                  <c:y val="1.2980882923454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86-4EF5-AFC8-0B938C9A901C}"/>
                </c:ext>
              </c:extLst>
            </c:dLbl>
            <c:dLbl>
              <c:idx val="1"/>
              <c:layout>
                <c:manualLayout>
                  <c:x val="3.14847907275599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86-4EF5-AFC8-0B938C9A901C}"/>
                </c:ext>
              </c:extLst>
            </c:dLbl>
            <c:dLbl>
              <c:idx val="2"/>
              <c:layout>
                <c:manualLayout>
                  <c:x val="9.2239086094998111E-3"/>
                  <c:y val="-8.1081081081081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86-4EF5-AFC8-0B938C9A901C}"/>
                </c:ext>
              </c:extLst>
            </c:dLbl>
            <c:dLbl>
              <c:idx val="3"/>
              <c:layout>
                <c:manualLayout>
                  <c:x val="2.8622537025054635E-2"/>
                  <c:y val="-2.70270270270270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86-4EF5-AFC8-0B938C9A901C}"/>
                </c:ext>
              </c:extLst>
            </c:dLbl>
            <c:dLbl>
              <c:idx val="4"/>
              <c:layout>
                <c:manualLayout>
                  <c:x val="2.5760283322549069E-2"/>
                  <c:y val="-2.70270270270272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86-4EF5-AFC8-0B938C9A901C}"/>
                </c:ext>
              </c:extLst>
            </c:dLbl>
            <c:spPr>
              <a:noFill/>
              <a:ln>
                <a:noFill/>
              </a:ln>
              <a:effectLst/>
            </c:spPr>
            <c:txPr>
              <a:bodyPr wrap="square" lIns="38100" tIns="19050" rIns="38100" bIns="19050" anchor="ctr">
                <a:spAutoFit/>
              </a:bodyPr>
              <a:lstStyle/>
              <a:p>
                <a:pPr>
                  <a:defRPr>
                    <a:latin typeface="Segoe UI" panose="020B0502040204020203" pitchFamily="34" charset="0"/>
                    <a:cs typeface="Segoe UI" panose="020B05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Resourcing!$C$35:$F$35</c:f>
              <c:numCache>
                <c:formatCode>General</c:formatCode>
                <c:ptCount val="4"/>
                <c:pt idx="0">
                  <c:v>1</c:v>
                </c:pt>
                <c:pt idx="1">
                  <c:v>2</c:v>
                </c:pt>
                <c:pt idx="2">
                  <c:v>3</c:v>
                </c:pt>
                <c:pt idx="3">
                  <c:v>4</c:v>
                </c:pt>
              </c:numCache>
            </c:numRef>
          </c:cat>
          <c:val>
            <c:numRef>
              <c:f>Resourcing!$C$37:$F$37</c:f>
              <c:numCache>
                <c:formatCode>0.0</c:formatCode>
                <c:ptCount val="4"/>
                <c:pt idx="0">
                  <c:v>0.49156250000000001</c:v>
                </c:pt>
                <c:pt idx="1">
                  <c:v>1.5629166666666674</c:v>
                </c:pt>
                <c:pt idx="2">
                  <c:v>2.9367708333333353</c:v>
                </c:pt>
                <c:pt idx="3">
                  <c:v>4.6131250000000019</c:v>
                </c:pt>
              </c:numCache>
            </c:numRef>
          </c:val>
          <c:extLst>
            <c:ext xmlns:c16="http://schemas.microsoft.com/office/drawing/2014/chart" uri="{C3380CC4-5D6E-409C-BE32-E72D297353CC}">
              <c16:uniqueId val="{0000000B-6386-4EF5-AFC8-0B938C9A901C}"/>
            </c:ext>
          </c:extLst>
        </c:ser>
        <c:ser>
          <c:idx val="2"/>
          <c:order val="2"/>
          <c:tx>
            <c:strRef>
              <c:f>Resourcing!$B$38</c:f>
              <c:strCache>
                <c:ptCount val="1"/>
                <c:pt idx="0">
                  <c:v>Sales &amp; Marketing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Resourcing!$C$35:$F$35</c:f>
              <c:numCache>
                <c:formatCode>General</c:formatCode>
                <c:ptCount val="4"/>
                <c:pt idx="0">
                  <c:v>1</c:v>
                </c:pt>
                <c:pt idx="1">
                  <c:v>2</c:v>
                </c:pt>
                <c:pt idx="2">
                  <c:v>3</c:v>
                </c:pt>
                <c:pt idx="3">
                  <c:v>4</c:v>
                </c:pt>
              </c:numCache>
            </c:numRef>
          </c:cat>
          <c:val>
            <c:numRef>
              <c:f>Resourcing!$C$38:$F$38</c:f>
              <c:numCache>
                <c:formatCode>0.0</c:formatCode>
                <c:ptCount val="4"/>
                <c:pt idx="0">
                  <c:v>2.250230769230769</c:v>
                </c:pt>
                <c:pt idx="1">
                  <c:v>3.9223477564102573</c:v>
                </c:pt>
                <c:pt idx="2">
                  <c:v>5.1668461538461568</c:v>
                </c:pt>
                <c:pt idx="3">
                  <c:v>5.6842836538461547</c:v>
                </c:pt>
              </c:numCache>
            </c:numRef>
          </c:val>
          <c:extLst>
            <c:ext xmlns:c16="http://schemas.microsoft.com/office/drawing/2014/chart" uri="{C3380CC4-5D6E-409C-BE32-E72D297353CC}">
              <c16:uniqueId val="{0000000C-6386-4EF5-AFC8-0B938C9A901C}"/>
            </c:ext>
          </c:extLst>
        </c:ser>
        <c:dLbls>
          <c:showLegendKey val="0"/>
          <c:showVal val="0"/>
          <c:showCatName val="0"/>
          <c:showSerName val="0"/>
          <c:showPercent val="0"/>
          <c:showBubbleSize val="0"/>
        </c:dLbls>
        <c:gapWidth val="150"/>
        <c:shape val="box"/>
        <c:axId val="-444150704"/>
        <c:axId val="-444159408"/>
        <c:axId val="0"/>
      </c:bar3DChart>
      <c:catAx>
        <c:axId val="-444150704"/>
        <c:scaling>
          <c:orientation val="minMax"/>
        </c:scaling>
        <c:delete val="0"/>
        <c:axPos val="l"/>
        <c:title>
          <c:tx>
            <c:rich>
              <a:bodyPr rot="-5400000" vert="horz"/>
              <a:lstStyle/>
              <a:p>
                <a:pPr>
                  <a:defRPr>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Year</a:t>
                </a:r>
              </a:p>
            </c:rich>
          </c:tx>
          <c:layout>
            <c:manualLayout>
              <c:xMode val="edge"/>
              <c:yMode val="edge"/>
              <c:x val="2.4755741677577409E-2"/>
              <c:y val="0.44495293428127308"/>
            </c:manualLayout>
          </c:layout>
          <c:overlay val="0"/>
        </c:title>
        <c:numFmt formatCode="General" sourceLinked="1"/>
        <c:majorTickMark val="out"/>
        <c:minorTickMark val="none"/>
        <c:tickLblPos val="nextTo"/>
        <c:crossAx val="-444159408"/>
        <c:crosses val="autoZero"/>
        <c:auto val="1"/>
        <c:lblAlgn val="ctr"/>
        <c:lblOffset val="100"/>
        <c:noMultiLvlLbl val="0"/>
      </c:catAx>
      <c:valAx>
        <c:axId val="-444159408"/>
        <c:scaling>
          <c:orientation val="minMax"/>
        </c:scaling>
        <c:delete val="1"/>
        <c:axPos val="b"/>
        <c:title>
          <c:tx>
            <c:rich>
              <a:bodyPr/>
              <a:lstStyle/>
              <a:p>
                <a:pPr>
                  <a:defRPr>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FTE's Required</a:t>
                </a:r>
              </a:p>
            </c:rich>
          </c:tx>
          <c:layout>
            <c:manualLayout>
              <c:xMode val="edge"/>
              <c:yMode val="edge"/>
              <c:x val="0.46093361725399901"/>
              <c:y val="0.94596172565807912"/>
            </c:manualLayout>
          </c:layout>
          <c:overlay val="0"/>
        </c:title>
        <c:numFmt formatCode="0.0" sourceLinked="1"/>
        <c:majorTickMark val="out"/>
        <c:minorTickMark val="none"/>
        <c:tickLblPos val="nextTo"/>
        <c:crossAx val="-444150704"/>
        <c:crosses val="autoZero"/>
        <c:crossBetween val="between"/>
      </c:valAx>
    </c:plotArea>
    <c:legend>
      <c:legendPos val="t"/>
      <c:overlay val="0"/>
      <c:txPr>
        <a:bodyPr/>
        <a:lstStyle/>
        <a:p>
          <a:pPr>
            <a:defRPr>
              <a:latin typeface="Segoe UI" panose="020B0502040204020203" pitchFamily="34" charset="0"/>
              <a:cs typeface="Segoe UI" panose="020B0502040204020203"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16" fmlaLink="$C$56" horiz="1" max="100" page="10" val="25"/>
</file>

<file path=xl/ctrlProps/ctrlProp2.xml><?xml version="1.0" encoding="utf-8"?>
<formControlPr xmlns="http://schemas.microsoft.com/office/spreadsheetml/2009/9/main" objectType="Scroll" dx="16" fmlaLink="$C$58" horiz="1" max="100" page="10" val="5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21</xdr:row>
          <xdr:rowOff>9525</xdr:rowOff>
        </xdr:from>
        <xdr:to>
          <xdr:col>7</xdr:col>
          <xdr:colOff>0</xdr:colOff>
          <xdr:row>22</xdr:row>
          <xdr:rowOff>38100</xdr:rowOff>
        </xdr:to>
        <xdr:sp macro="" textlink="">
          <xdr:nvSpPr>
            <xdr:cNvPr id="1029" name="Scroll Ba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xdr:from>
      <xdr:col>12</xdr:col>
      <xdr:colOff>11906</xdr:colOff>
      <xdr:row>1</xdr:row>
      <xdr:rowOff>23813</xdr:rowOff>
    </xdr:from>
    <xdr:to>
      <xdr:col>16</xdr:col>
      <xdr:colOff>107156</xdr:colOff>
      <xdr:row>25</xdr:row>
      <xdr:rowOff>83343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16</xdr:col>
      <xdr:colOff>250031</xdr:colOff>
      <xdr:row>1</xdr:row>
      <xdr:rowOff>41275</xdr:rowOff>
    </xdr:from>
    <xdr:to>
      <xdr:col>19</xdr:col>
      <xdr:colOff>19843</xdr:colOff>
      <xdr:row>24</xdr:row>
      <xdr:rowOff>178594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18</xdr:row>
          <xdr:rowOff>9525</xdr:rowOff>
        </xdr:from>
        <xdr:to>
          <xdr:col>7</xdr:col>
          <xdr:colOff>9525</xdr:colOff>
          <xdr:row>19</xdr:row>
          <xdr:rowOff>47625</xdr:rowOff>
        </xdr:to>
        <xdr:sp macro="" textlink="">
          <xdr:nvSpPr>
            <xdr:cNvPr id="1051" name="Scroll Bar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oneCellAnchor>
    <xdr:from>
      <xdr:col>7</xdr:col>
      <xdr:colOff>321468</xdr:colOff>
      <xdr:row>24</xdr:row>
      <xdr:rowOff>35719</xdr:rowOff>
    </xdr:from>
    <xdr:ext cx="3083718" cy="2285999"/>
    <xdr:sp macro="" textlink="">
      <xdr:nvSpPr>
        <xdr:cNvPr id="6" name="TextBox 5"/>
        <xdr:cNvSpPr txBox="1"/>
      </xdr:nvSpPr>
      <xdr:spPr>
        <a:xfrm>
          <a:off x="7060406" y="4333875"/>
          <a:ext cx="3083718" cy="2285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mn-lt"/>
              <a:ea typeface="+mn-ea"/>
              <a:cs typeface="+mn-cs"/>
            </a:rPr>
            <a:t>The financial models and statements contained herein are provided to you for illustrative purposes only, and should not be considered or relied upon as the actual or potential income, sales, profits, or earnings which you will realize, in whole or in part, as a result of deployment of Microsoft products and technologies. Some of the assumptions and figures provided are based on partner interviews and a survey conducted by Market Decisions Corporation of over 1,250 partners between March – May of 2015, which you may find useful in assessing your own numbers. MICROSOFT MAKES NO WARRANTIES, EXPRESS, IMPLIED OR STATUTORY, AS TO THE INFORMATION IN THIS DOCUMENT.</a:t>
          </a:r>
          <a:endParaRPr lang="en-CA" sz="1000">
            <a:solidFill>
              <a:schemeClr val="tx1"/>
            </a:solidFill>
            <a:effectLst/>
            <a:latin typeface="+mn-lt"/>
            <a:ea typeface="+mn-ea"/>
            <a:cs typeface="+mn-cs"/>
          </a:endParaRPr>
        </a:p>
        <a:p>
          <a:endParaRPr lang="en-CA" sz="10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1256392</xdr:colOff>
      <xdr:row>0</xdr:row>
      <xdr:rowOff>143328</xdr:rowOff>
    </xdr:from>
    <xdr:to>
      <xdr:col>22</xdr:col>
      <xdr:colOff>108857</xdr:colOff>
      <xdr:row>28</xdr:row>
      <xdr:rowOff>199572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50800</xdr:colOff>
      <xdr:row>1</xdr:row>
      <xdr:rowOff>59417</xdr:rowOff>
    </xdr:from>
    <xdr:to>
      <xdr:col>23</xdr:col>
      <xdr:colOff>444047</xdr:colOff>
      <xdr:row>30</xdr:row>
      <xdr:rowOff>96156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611981</xdr:colOff>
      <xdr:row>0</xdr:row>
      <xdr:rowOff>199232</xdr:rowOff>
    </xdr:from>
    <xdr:to>
      <xdr:col>16</xdr:col>
      <xdr:colOff>202405</xdr:colOff>
      <xdr:row>25</xdr:row>
      <xdr:rowOff>123032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1"/>
  <sheetViews>
    <sheetView showGridLines="0" zoomScale="80" zoomScaleNormal="80" workbookViewId="0">
      <pane ySplit="3" topLeftCell="A64" activePane="bottomLeft" state="frozen"/>
      <selection pane="bottomLeft" activeCell="J3" sqref="J3"/>
    </sheetView>
  </sheetViews>
  <sheetFormatPr defaultColWidth="8.75" defaultRowHeight="16.5" x14ac:dyDescent="0.3"/>
  <cols>
    <col min="1" max="1" width="4.125" style="75" customWidth="1"/>
    <col min="2" max="2" width="3.25" style="74" customWidth="1"/>
    <col min="3" max="3" width="46.125" style="75" customWidth="1"/>
    <col min="4" max="16" width="12.625" style="75" customWidth="1"/>
    <col min="17" max="19" width="14" style="75" customWidth="1"/>
    <col min="20" max="33" width="12.625" style="75" customWidth="1"/>
    <col min="34" max="16384" width="8.75" style="75"/>
  </cols>
  <sheetData>
    <row r="1" spans="2:32" ht="4.5" customHeight="1" x14ac:dyDescent="0.3"/>
    <row r="2" spans="2:32" ht="30" customHeight="1" x14ac:dyDescent="0.3">
      <c r="E2" s="366" t="s">
        <v>116</v>
      </c>
      <c r="F2" s="367"/>
      <c r="G2" s="367"/>
      <c r="H2" s="367"/>
      <c r="I2" s="367"/>
      <c r="J2" s="367"/>
      <c r="K2" s="367"/>
      <c r="L2" s="367"/>
      <c r="M2" s="367"/>
      <c r="N2" s="368"/>
      <c r="O2" s="369" t="s">
        <v>378</v>
      </c>
      <c r="P2" s="370"/>
      <c r="Q2" s="371"/>
      <c r="R2" s="287" t="s">
        <v>199</v>
      </c>
      <c r="S2" s="288"/>
      <c r="T2" s="289"/>
      <c r="U2" s="372" t="s">
        <v>379</v>
      </c>
      <c r="V2" s="373"/>
      <c r="W2" s="373"/>
    </row>
    <row r="3" spans="2:32" s="262" customFormat="1" ht="78" customHeight="1" x14ac:dyDescent="0.25">
      <c r="D3" s="263" t="s">
        <v>200</v>
      </c>
      <c r="E3" s="264" t="s">
        <v>326</v>
      </c>
      <c r="F3" s="264" t="s">
        <v>327</v>
      </c>
      <c r="G3" s="264" t="s">
        <v>323</v>
      </c>
      <c r="H3" s="264" t="s">
        <v>380</v>
      </c>
      <c r="I3" s="264" t="s">
        <v>381</v>
      </c>
      <c r="J3" s="264" t="s">
        <v>324</v>
      </c>
      <c r="K3" s="264" t="s">
        <v>328</v>
      </c>
      <c r="L3" s="264" t="s">
        <v>325</v>
      </c>
      <c r="M3" s="264" t="s">
        <v>329</v>
      </c>
      <c r="N3" s="264" t="s">
        <v>350</v>
      </c>
      <c r="O3" s="264" t="s">
        <v>351</v>
      </c>
      <c r="P3" s="264" t="s">
        <v>368</v>
      </c>
      <c r="Q3" s="264" t="s">
        <v>382</v>
      </c>
      <c r="R3" s="264" t="s">
        <v>383</v>
      </c>
      <c r="S3" s="264" t="s">
        <v>384</v>
      </c>
      <c r="T3" s="264" t="s">
        <v>385</v>
      </c>
      <c r="U3" s="264" t="s">
        <v>386</v>
      </c>
      <c r="V3" s="264" t="s">
        <v>387</v>
      </c>
      <c r="W3" s="265"/>
      <c r="X3" s="265"/>
      <c r="Y3" s="265"/>
      <c r="Z3" s="265"/>
      <c r="AA3" s="265"/>
      <c r="AB3" s="265"/>
      <c r="AC3" s="265"/>
      <c r="AD3" s="265"/>
      <c r="AE3" s="265"/>
      <c r="AF3" s="265"/>
    </row>
    <row r="4" spans="2:32" ht="16.5" customHeight="1" x14ac:dyDescent="0.3">
      <c r="B4" s="74" t="s">
        <v>201</v>
      </c>
      <c r="D4" s="283" t="s">
        <v>330</v>
      </c>
      <c r="E4" s="283" t="s">
        <v>331</v>
      </c>
      <c r="F4" s="283" t="s">
        <v>332</v>
      </c>
      <c r="G4" s="283" t="s">
        <v>330</v>
      </c>
      <c r="H4" s="283" t="s">
        <v>331</v>
      </c>
      <c r="I4" s="283" t="s">
        <v>333</v>
      </c>
      <c r="J4" s="283" t="s">
        <v>334</v>
      </c>
      <c r="K4" s="283" t="s">
        <v>335</v>
      </c>
      <c r="L4" s="283" t="s">
        <v>332</v>
      </c>
      <c r="M4" s="283" t="s">
        <v>334</v>
      </c>
      <c r="N4" s="283" t="s">
        <v>352</v>
      </c>
      <c r="O4" s="283" t="s">
        <v>330</v>
      </c>
      <c r="P4" s="283" t="s">
        <v>333</v>
      </c>
      <c r="Q4" s="283" t="s">
        <v>388</v>
      </c>
      <c r="R4" s="283" t="s">
        <v>389</v>
      </c>
      <c r="S4" s="283" t="s">
        <v>390</v>
      </c>
      <c r="T4" s="283" t="s">
        <v>333</v>
      </c>
      <c r="U4" s="283" t="s">
        <v>333</v>
      </c>
      <c r="V4" s="283" t="s">
        <v>391</v>
      </c>
    </row>
    <row r="5" spans="2:32" s="276" customFormat="1" x14ac:dyDescent="0.3">
      <c r="B5" s="275"/>
      <c r="C5" s="276" t="s">
        <v>337</v>
      </c>
      <c r="D5" s="284"/>
      <c r="E5" s="284"/>
      <c r="F5" s="284"/>
      <c r="G5" s="284"/>
      <c r="H5" s="284"/>
      <c r="I5" s="284"/>
      <c r="J5" s="284"/>
      <c r="K5" s="284"/>
      <c r="L5" s="284"/>
      <c r="M5" s="284"/>
      <c r="N5" s="284"/>
      <c r="O5" s="284"/>
      <c r="P5" s="284"/>
      <c r="Q5" s="284"/>
      <c r="R5" s="284"/>
      <c r="S5" s="284"/>
      <c r="T5" s="284"/>
      <c r="U5" s="284"/>
      <c r="V5" s="284"/>
    </row>
    <row r="6" spans="2:32" x14ac:dyDescent="0.3">
      <c r="C6" s="76" t="s">
        <v>392</v>
      </c>
      <c r="D6" s="267"/>
      <c r="E6" s="267"/>
      <c r="F6" s="267"/>
      <c r="G6" s="267"/>
      <c r="H6" s="267"/>
      <c r="I6" s="267"/>
      <c r="J6" s="267"/>
      <c r="K6" s="267"/>
      <c r="L6" s="267"/>
      <c r="M6" s="268"/>
      <c r="N6" s="267"/>
      <c r="O6" s="267"/>
      <c r="P6" s="267"/>
      <c r="Q6" s="267"/>
      <c r="R6" s="267"/>
      <c r="S6" s="267"/>
      <c r="T6" s="267"/>
      <c r="U6" s="267"/>
      <c r="V6" s="267"/>
    </row>
    <row r="7" spans="2:32" x14ac:dyDescent="0.3">
      <c r="C7" s="76" t="s">
        <v>202</v>
      </c>
      <c r="D7" s="267"/>
      <c r="E7" s="267"/>
      <c r="F7" s="267"/>
      <c r="G7" s="267"/>
      <c r="H7" s="267"/>
      <c r="I7" s="267"/>
      <c r="J7" s="267"/>
      <c r="K7" s="267"/>
      <c r="L7" s="267"/>
      <c r="M7" s="267"/>
      <c r="N7" s="267"/>
      <c r="O7" s="267"/>
      <c r="P7" s="267"/>
      <c r="Q7" s="267"/>
      <c r="R7" s="267"/>
      <c r="S7" s="267"/>
      <c r="T7" s="267"/>
      <c r="U7" s="267"/>
      <c r="V7" s="267"/>
    </row>
    <row r="8" spans="2:32" x14ac:dyDescent="0.3">
      <c r="C8" s="76" t="s">
        <v>203</v>
      </c>
      <c r="D8" s="268"/>
      <c r="E8" s="266"/>
      <c r="F8" s="266"/>
      <c r="G8" s="268"/>
      <c r="H8" s="268"/>
      <c r="I8" s="268"/>
      <c r="J8" s="268"/>
      <c r="K8" s="268"/>
      <c r="L8" s="268"/>
      <c r="M8" s="268"/>
      <c r="N8" s="267"/>
      <c r="O8" s="267"/>
      <c r="P8" s="268"/>
      <c r="Q8" s="267"/>
      <c r="R8" s="267"/>
      <c r="S8" s="267"/>
      <c r="T8" s="266"/>
      <c r="U8" s="266"/>
      <c r="V8" s="266"/>
    </row>
    <row r="9" spans="2:32" x14ac:dyDescent="0.3">
      <c r="C9" s="76" t="s">
        <v>204</v>
      </c>
      <c r="D9" s="267"/>
      <c r="E9" s="266"/>
      <c r="F9" s="266"/>
      <c r="G9" s="268"/>
      <c r="H9" s="268"/>
      <c r="I9" s="268"/>
      <c r="J9" s="268"/>
      <c r="K9" s="268"/>
      <c r="L9" s="268"/>
      <c r="M9" s="268"/>
      <c r="N9" s="268"/>
      <c r="O9" s="267"/>
      <c r="P9" s="268"/>
      <c r="Q9" s="267"/>
      <c r="R9" s="267"/>
      <c r="S9" s="267"/>
      <c r="T9" s="266"/>
      <c r="U9" s="266"/>
      <c r="V9" s="266"/>
    </row>
    <row r="10" spans="2:32" x14ac:dyDescent="0.3">
      <c r="C10" s="76" t="s">
        <v>205</v>
      </c>
      <c r="D10" s="268"/>
      <c r="E10" s="266"/>
      <c r="F10" s="266"/>
      <c r="G10" s="268"/>
      <c r="H10" s="268"/>
      <c r="I10" s="268"/>
      <c r="J10" s="268"/>
      <c r="K10" s="268"/>
      <c r="L10" s="268"/>
      <c r="M10" s="268"/>
      <c r="N10" s="267"/>
      <c r="O10" s="268"/>
      <c r="P10" s="268"/>
      <c r="Q10" s="267"/>
      <c r="R10" s="266"/>
      <c r="S10" s="266"/>
      <c r="T10" s="266"/>
      <c r="U10" s="266"/>
      <c r="V10" s="266"/>
    </row>
    <row r="11" spans="2:32" x14ac:dyDescent="0.3">
      <c r="C11" s="76" t="s">
        <v>206</v>
      </c>
      <c r="D11" s="268"/>
      <c r="E11" s="266"/>
      <c r="F11" s="266"/>
      <c r="G11" s="268"/>
      <c r="H11" s="267"/>
      <c r="I11" s="268"/>
      <c r="J11" s="268"/>
      <c r="K11" s="267"/>
      <c r="L11" s="278"/>
      <c r="M11" s="266"/>
      <c r="N11" s="267"/>
      <c r="O11" s="268"/>
      <c r="P11" s="268"/>
      <c r="Q11" s="267"/>
      <c r="R11" s="266"/>
      <c r="S11" s="266"/>
      <c r="T11" s="266"/>
      <c r="U11" s="266"/>
      <c r="V11" s="266"/>
    </row>
    <row r="12" spans="2:32" x14ac:dyDescent="0.3">
      <c r="C12" s="76" t="s">
        <v>207</v>
      </c>
      <c r="D12" s="268"/>
      <c r="E12" s="267"/>
      <c r="F12" s="266"/>
      <c r="G12" s="267"/>
      <c r="H12" s="268"/>
      <c r="I12" s="268"/>
      <c r="J12" s="268"/>
      <c r="K12" s="267"/>
      <c r="L12" s="278"/>
      <c r="M12" s="268"/>
      <c r="N12" s="268"/>
      <c r="O12" s="268"/>
      <c r="P12" s="268"/>
      <c r="Q12" s="267"/>
      <c r="R12" s="266"/>
      <c r="S12" s="266"/>
      <c r="T12" s="266"/>
      <c r="U12" s="268"/>
      <c r="V12" s="268"/>
    </row>
    <row r="13" spans="2:32" x14ac:dyDescent="0.3">
      <c r="C13" s="76" t="s">
        <v>208</v>
      </c>
      <c r="D13" s="268"/>
      <c r="E13" s="267"/>
      <c r="F13" s="266"/>
      <c r="G13" s="268"/>
      <c r="H13" s="268"/>
      <c r="I13" s="268"/>
      <c r="J13" s="268"/>
      <c r="K13" s="267"/>
      <c r="L13" s="278"/>
      <c r="M13" s="268"/>
      <c r="N13" s="268"/>
      <c r="O13" s="268"/>
      <c r="P13" s="268"/>
      <c r="Q13" s="266"/>
      <c r="R13" s="266"/>
      <c r="S13" s="266"/>
      <c r="T13" s="266"/>
      <c r="U13" s="266"/>
      <c r="V13" s="266"/>
    </row>
    <row r="14" spans="2:32" x14ac:dyDescent="0.3">
      <c r="C14" s="76" t="s">
        <v>209</v>
      </c>
      <c r="D14" s="268"/>
      <c r="E14" s="268"/>
      <c r="F14" s="266"/>
      <c r="G14" s="268"/>
      <c r="H14" s="268"/>
      <c r="I14" s="268"/>
      <c r="J14" s="268"/>
      <c r="K14" s="267"/>
      <c r="L14" s="278"/>
      <c r="M14" s="268"/>
      <c r="N14" s="268"/>
      <c r="O14" s="268"/>
      <c r="P14" s="268"/>
      <c r="Q14" s="266"/>
      <c r="R14" s="266"/>
      <c r="S14" s="266"/>
      <c r="T14" s="266"/>
      <c r="U14" s="266"/>
      <c r="V14" s="266"/>
    </row>
    <row r="15" spans="2:32" x14ac:dyDescent="0.3">
      <c r="C15" s="76" t="s">
        <v>210</v>
      </c>
      <c r="D15" s="268"/>
      <c r="E15" s="268"/>
      <c r="F15" s="266"/>
      <c r="G15" s="267"/>
      <c r="H15" s="268"/>
      <c r="I15" s="268"/>
      <c r="J15" s="268"/>
      <c r="K15" s="267"/>
      <c r="L15" s="278"/>
      <c r="M15" s="268"/>
      <c r="N15" s="268"/>
      <c r="O15" s="268"/>
      <c r="P15" s="268"/>
      <c r="Q15" s="266"/>
      <c r="R15" s="266"/>
      <c r="S15" s="266"/>
      <c r="T15" s="266"/>
      <c r="U15" s="266"/>
      <c r="V15" s="266"/>
    </row>
    <row r="16" spans="2:32" x14ac:dyDescent="0.3">
      <c r="C16" s="76" t="s">
        <v>211</v>
      </c>
      <c r="D16" s="268"/>
      <c r="E16" s="268"/>
      <c r="F16" s="266"/>
      <c r="G16" s="268"/>
      <c r="H16" s="268"/>
      <c r="I16" s="268"/>
      <c r="J16" s="268"/>
      <c r="K16" s="268"/>
      <c r="L16" s="278"/>
      <c r="M16" s="268"/>
      <c r="N16" s="268"/>
      <c r="O16" s="267"/>
      <c r="P16" s="268"/>
      <c r="Q16" s="267"/>
      <c r="R16" s="267"/>
      <c r="S16" s="267"/>
      <c r="T16" s="266"/>
      <c r="U16" s="266"/>
      <c r="V16" s="266"/>
    </row>
    <row r="17" spans="2:22" x14ac:dyDescent="0.3">
      <c r="C17" s="76" t="s">
        <v>212</v>
      </c>
      <c r="D17" s="268"/>
      <c r="E17" s="266"/>
      <c r="F17" s="267"/>
      <c r="G17" s="268"/>
      <c r="H17" s="268"/>
      <c r="I17" s="268"/>
      <c r="J17" s="268"/>
      <c r="K17" s="268"/>
      <c r="L17" s="278"/>
      <c r="M17" s="268"/>
      <c r="N17" s="267"/>
      <c r="O17" s="267"/>
      <c r="P17" s="268"/>
      <c r="Q17" s="266"/>
      <c r="R17" s="266"/>
      <c r="S17" s="266"/>
      <c r="T17" s="266"/>
      <c r="U17" s="266"/>
      <c r="V17" s="266"/>
    </row>
    <row r="18" spans="2:22" x14ac:dyDescent="0.3">
      <c r="C18" s="76" t="s">
        <v>213</v>
      </c>
      <c r="D18" s="268"/>
      <c r="E18" s="266"/>
      <c r="F18" s="268"/>
      <c r="G18" s="268"/>
      <c r="H18" s="268"/>
      <c r="I18" s="268"/>
      <c r="J18" s="268"/>
      <c r="K18" s="268"/>
      <c r="L18" s="278"/>
      <c r="M18" s="268"/>
      <c r="N18" s="267"/>
      <c r="O18" s="267"/>
      <c r="P18" s="268"/>
      <c r="Q18" s="266"/>
      <c r="R18" s="266"/>
      <c r="S18" s="266"/>
      <c r="T18" s="266"/>
      <c r="U18" s="266"/>
      <c r="V18" s="266"/>
    </row>
    <row r="19" spans="2:22" x14ac:dyDescent="0.3">
      <c r="C19" s="76" t="s">
        <v>214</v>
      </c>
      <c r="D19" s="268"/>
      <c r="E19" s="266"/>
      <c r="F19" s="266"/>
      <c r="G19" s="268"/>
      <c r="H19" s="268"/>
      <c r="I19" s="268"/>
      <c r="J19" s="267"/>
      <c r="K19" s="268"/>
      <c r="L19" s="268"/>
      <c r="M19" s="268"/>
      <c r="N19" s="267"/>
      <c r="O19" s="267"/>
      <c r="P19" s="268"/>
      <c r="Q19" s="267"/>
      <c r="R19" s="267"/>
      <c r="S19" s="267"/>
      <c r="T19" s="266"/>
      <c r="U19" s="266"/>
      <c r="V19" s="266"/>
    </row>
    <row r="20" spans="2:22" x14ac:dyDescent="0.3">
      <c r="C20" s="76" t="s">
        <v>215</v>
      </c>
      <c r="D20" s="266"/>
      <c r="E20" s="267"/>
      <c r="F20" s="266"/>
      <c r="G20" s="268"/>
      <c r="H20" s="268"/>
      <c r="I20" s="268"/>
      <c r="J20" s="268"/>
      <c r="K20" s="268"/>
      <c r="L20" s="278"/>
      <c r="M20" s="268"/>
      <c r="N20" s="268"/>
      <c r="O20" s="268"/>
      <c r="P20" s="268"/>
      <c r="Q20" s="266"/>
      <c r="R20" s="266"/>
      <c r="S20" s="266"/>
      <c r="T20" s="266"/>
      <c r="U20" s="266"/>
      <c r="V20" s="266"/>
    </row>
    <row r="21" spans="2:22" x14ac:dyDescent="0.3">
      <c r="C21" s="76" t="s">
        <v>216</v>
      </c>
      <c r="D21" s="267"/>
      <c r="E21" s="267"/>
      <c r="F21" s="267"/>
      <c r="G21" s="267"/>
      <c r="H21" s="268"/>
      <c r="I21" s="267"/>
      <c r="J21" s="267"/>
      <c r="K21" s="268"/>
      <c r="L21" s="278"/>
      <c r="M21" s="267"/>
      <c r="N21" s="267"/>
      <c r="O21" s="268"/>
      <c r="P21" s="268"/>
      <c r="Q21" s="266"/>
      <c r="R21" s="266"/>
      <c r="S21" s="266"/>
      <c r="T21" s="266"/>
      <c r="U21" s="266"/>
      <c r="V21" s="266"/>
    </row>
    <row r="22" spans="2:22" x14ac:dyDescent="0.3">
      <c r="C22" s="76" t="s">
        <v>217</v>
      </c>
      <c r="D22" s="266"/>
      <c r="E22" s="266"/>
      <c r="F22" s="266"/>
      <c r="G22" s="267"/>
      <c r="H22" s="268"/>
      <c r="I22" s="267"/>
      <c r="J22" s="267"/>
      <c r="K22" s="268"/>
      <c r="L22" s="267"/>
      <c r="M22" s="268"/>
      <c r="N22" s="268"/>
      <c r="O22" s="268"/>
      <c r="P22" s="268"/>
      <c r="Q22" s="266"/>
      <c r="R22" s="266"/>
      <c r="S22" s="266"/>
      <c r="T22" s="266"/>
      <c r="U22" s="266"/>
      <c r="V22" s="266"/>
    </row>
    <row r="23" spans="2:22" x14ac:dyDescent="0.3">
      <c r="C23" s="76" t="s">
        <v>218</v>
      </c>
      <c r="D23" s="267"/>
      <c r="E23" s="266"/>
      <c r="F23" s="266"/>
      <c r="G23" s="268"/>
      <c r="H23" s="267"/>
      <c r="I23"/>
      <c r="J23" s="268"/>
      <c r="K23" s="268"/>
      <c r="L23" s="278"/>
      <c r="M23" s="268"/>
      <c r="N23" s="267"/>
      <c r="O23" s="268"/>
      <c r="P23" s="268"/>
      <c r="Q23" s="266"/>
      <c r="R23" s="266"/>
      <c r="S23" s="266"/>
      <c r="T23" s="266"/>
      <c r="U23" s="266"/>
      <c r="V23" s="266"/>
    </row>
    <row r="24" spans="2:22" x14ac:dyDescent="0.3">
      <c r="C24" s="76" t="s">
        <v>353</v>
      </c>
      <c r="D24" s="267"/>
      <c r="E24" s="266"/>
      <c r="F24" s="266"/>
      <c r="G24" s="268"/>
      <c r="H24" s="267"/>
      <c r="I24" s="268"/>
      <c r="J24" s="268"/>
      <c r="K24" s="268"/>
      <c r="L24" s="267"/>
      <c r="M24" s="268"/>
      <c r="N24" s="267"/>
      <c r="O24" s="268"/>
      <c r="P24" s="268"/>
      <c r="Q24" s="266"/>
      <c r="R24" s="266"/>
      <c r="S24" s="266"/>
      <c r="T24" s="266"/>
      <c r="U24" s="266"/>
      <c r="V24" s="266"/>
    </row>
    <row r="25" spans="2:22" x14ac:dyDescent="0.3">
      <c r="C25" s="76" t="s">
        <v>219</v>
      </c>
      <c r="D25" s="266"/>
      <c r="E25" s="266"/>
      <c r="F25" s="266"/>
      <c r="G25" s="268"/>
      <c r="H25" s="268"/>
      <c r="I25" s="268"/>
      <c r="J25" s="268"/>
      <c r="K25" s="268"/>
      <c r="L25" s="278"/>
      <c r="M25" s="268"/>
      <c r="N25" s="268"/>
      <c r="O25" s="268"/>
      <c r="P25" s="268"/>
      <c r="Q25" s="267"/>
      <c r="R25" s="267"/>
      <c r="S25" s="267"/>
      <c r="T25" s="266"/>
      <c r="U25" s="266"/>
      <c r="V25" s="266"/>
    </row>
    <row r="26" spans="2:22" ht="16.5" customHeight="1" x14ac:dyDescent="0.3">
      <c r="C26" s="76" t="s">
        <v>220</v>
      </c>
      <c r="D26" s="267"/>
      <c r="E26" s="267"/>
      <c r="F26" s="266"/>
      <c r="G26" s="267"/>
      <c r="H26" s="267"/>
      <c r="I26" s="267"/>
      <c r="J26" s="267"/>
      <c r="K26" s="267"/>
      <c r="L26" s="267"/>
      <c r="M26" s="268"/>
      <c r="N26" s="268"/>
      <c r="O26" s="267"/>
      <c r="P26" s="268"/>
      <c r="Q26" s="267"/>
      <c r="R26" s="267"/>
      <c r="S26" s="267"/>
      <c r="T26" s="268"/>
      <c r="U26" s="266"/>
      <c r="V26" s="268"/>
    </row>
    <row r="27" spans="2:22" s="76" customFormat="1" ht="16.5" customHeight="1" x14ac:dyDescent="0.3">
      <c r="B27" s="270"/>
      <c r="C27" s="76" t="s">
        <v>393</v>
      </c>
      <c r="D27" s="281"/>
      <c r="E27" s="281"/>
      <c r="F27" s="281"/>
      <c r="G27" s="281"/>
      <c r="H27" s="281"/>
      <c r="I27" s="281"/>
      <c r="J27" s="281"/>
      <c r="K27" s="281"/>
      <c r="L27" s="281"/>
      <c r="M27" s="281"/>
      <c r="N27" s="281"/>
      <c r="O27" s="281"/>
      <c r="P27" s="281"/>
      <c r="Q27" s="280"/>
      <c r="R27" s="280"/>
      <c r="S27" s="280"/>
      <c r="T27" s="281"/>
      <c r="U27" s="281"/>
      <c r="V27" s="267"/>
    </row>
    <row r="28" spans="2:22" s="76" customFormat="1" ht="16.5" customHeight="1" x14ac:dyDescent="0.3">
      <c r="B28" s="270"/>
      <c r="C28" s="76" t="s">
        <v>394</v>
      </c>
      <c r="D28" s="281"/>
      <c r="E28" s="281"/>
      <c r="F28" s="281"/>
      <c r="G28" s="281"/>
      <c r="H28" s="281"/>
      <c r="I28" s="281"/>
      <c r="J28" s="281"/>
      <c r="K28" s="281"/>
      <c r="L28" s="281"/>
      <c r="M28" s="281"/>
      <c r="N28" s="281"/>
      <c r="O28" s="281"/>
      <c r="P28" s="281"/>
      <c r="Q28" s="280"/>
      <c r="R28" s="280"/>
      <c r="S28" s="280"/>
      <c r="T28" s="281"/>
      <c r="U28" s="281"/>
      <c r="V28" s="280"/>
    </row>
    <row r="29" spans="2:22" s="76" customFormat="1" ht="16.5" customHeight="1" x14ac:dyDescent="0.3">
      <c r="B29" s="270"/>
      <c r="C29" s="76" t="s">
        <v>395</v>
      </c>
      <c r="D29" s="281"/>
      <c r="E29" s="281"/>
      <c r="F29" s="281"/>
      <c r="G29" s="281"/>
      <c r="H29" s="281"/>
      <c r="I29" s="281"/>
      <c r="J29" s="281"/>
      <c r="K29" s="281"/>
      <c r="L29" s="281"/>
      <c r="M29" s="281"/>
      <c r="N29" s="281"/>
      <c r="O29" s="281"/>
      <c r="P29" s="281"/>
      <c r="Q29" s="280"/>
      <c r="R29" s="280"/>
      <c r="S29" s="280"/>
      <c r="T29" s="281"/>
      <c r="U29" s="281"/>
      <c r="V29" s="280"/>
    </row>
    <row r="30" spans="2:22" s="76" customFormat="1" ht="16.5" customHeight="1" x14ac:dyDescent="0.3">
      <c r="B30" s="270"/>
      <c r="C30" s="76" t="s">
        <v>396</v>
      </c>
      <c r="D30" s="281"/>
      <c r="E30" s="281"/>
      <c r="F30" s="281"/>
      <c r="G30" s="281"/>
      <c r="H30" s="281"/>
      <c r="I30" s="281"/>
      <c r="J30" s="281"/>
      <c r="K30" s="281"/>
      <c r="L30" s="281"/>
      <c r="M30" s="281"/>
      <c r="N30" s="281"/>
      <c r="O30" s="281"/>
      <c r="P30" s="281"/>
      <c r="Q30" s="280"/>
      <c r="R30" s="280"/>
      <c r="S30" s="280"/>
      <c r="T30" s="281"/>
      <c r="U30" s="281"/>
      <c r="V30" s="280"/>
    </row>
    <row r="31" spans="2:22" s="76" customFormat="1" ht="16.5" customHeight="1" x14ac:dyDescent="0.3">
      <c r="B31" s="270"/>
      <c r="C31" s="76" t="s">
        <v>369</v>
      </c>
      <c r="D31" s="267"/>
      <c r="E31" s="279"/>
      <c r="F31" s="267"/>
      <c r="G31" s="280"/>
      <c r="H31" s="279"/>
      <c r="I31" s="280"/>
      <c r="J31" s="279"/>
      <c r="K31" s="279"/>
      <c r="L31" s="267"/>
      <c r="M31" s="280"/>
      <c r="N31" s="281"/>
      <c r="O31" s="281"/>
      <c r="P31" s="281"/>
      <c r="Q31" s="280"/>
      <c r="R31" s="280"/>
      <c r="S31" s="280"/>
      <c r="T31" s="280"/>
      <c r="U31" s="280"/>
      <c r="V31" s="280"/>
    </row>
    <row r="32" spans="2:22" s="76" customFormat="1" ht="16.5" customHeight="1" x14ac:dyDescent="0.3">
      <c r="B32" s="270"/>
      <c r="C32" s="76" t="s">
        <v>397</v>
      </c>
      <c r="D32" s="267"/>
      <c r="E32" s="279"/>
      <c r="F32" s="267"/>
      <c r="G32" s="280"/>
      <c r="H32" s="279"/>
      <c r="I32" s="280"/>
      <c r="J32" s="279"/>
      <c r="K32" s="279"/>
      <c r="L32" s="280"/>
      <c r="M32" s="280"/>
      <c r="N32" s="281"/>
      <c r="O32" s="281"/>
      <c r="P32" s="281"/>
      <c r="Q32" s="280"/>
      <c r="R32" s="280"/>
      <c r="S32" s="280"/>
      <c r="T32" s="281"/>
      <c r="U32" s="281"/>
      <c r="V32" s="280"/>
    </row>
    <row r="33" spans="2:22" s="76" customFormat="1" ht="16.5" customHeight="1" x14ac:dyDescent="0.3">
      <c r="B33" s="270"/>
      <c r="C33" s="76" t="s">
        <v>398</v>
      </c>
      <c r="D33" s="281"/>
      <c r="E33" s="281"/>
      <c r="F33" s="281"/>
      <c r="G33" s="281"/>
      <c r="H33" s="281"/>
      <c r="I33" s="280"/>
      <c r="J33" s="281"/>
      <c r="K33" s="281"/>
      <c r="L33" s="281"/>
      <c r="M33" s="281"/>
      <c r="N33" s="281"/>
      <c r="O33" s="281"/>
      <c r="P33" s="281"/>
      <c r="Q33" s="280"/>
      <c r="R33" s="280"/>
      <c r="S33" s="280"/>
      <c r="T33" s="281"/>
      <c r="U33" s="281"/>
      <c r="V33" s="280"/>
    </row>
    <row r="34" spans="2:22" s="76" customFormat="1" ht="16.5" customHeight="1" x14ac:dyDescent="0.3">
      <c r="B34" s="270"/>
      <c r="C34" s="76" t="s">
        <v>399</v>
      </c>
      <c r="D34" s="281"/>
      <c r="E34" s="281"/>
      <c r="F34" s="281"/>
      <c r="G34" s="281"/>
      <c r="H34" s="281"/>
      <c r="I34" s="281"/>
      <c r="J34" s="281"/>
      <c r="K34" s="281"/>
      <c r="L34" s="281"/>
      <c r="M34" s="281"/>
      <c r="N34" s="281"/>
      <c r="O34" s="281"/>
      <c r="P34" s="281"/>
      <c r="Q34" s="280"/>
      <c r="R34" s="280"/>
      <c r="S34" s="280"/>
      <c r="T34" s="281"/>
      <c r="U34" s="281"/>
      <c r="V34" s="280"/>
    </row>
    <row r="35" spans="2:22" s="76" customFormat="1" ht="16.5" customHeight="1" x14ac:dyDescent="0.3">
      <c r="B35" s="270"/>
      <c r="C35" s="76" t="s">
        <v>400</v>
      </c>
      <c r="D35" s="281"/>
      <c r="E35" s="281"/>
      <c r="F35" s="281"/>
      <c r="G35" s="281"/>
      <c r="H35" s="281"/>
      <c r="I35" s="281"/>
      <c r="J35" s="281"/>
      <c r="K35" s="281"/>
      <c r="L35" s="281"/>
      <c r="M35" s="281"/>
      <c r="N35" s="281"/>
      <c r="O35" s="281"/>
      <c r="P35" s="281"/>
      <c r="Q35" s="280"/>
      <c r="R35" s="280"/>
      <c r="S35" s="280"/>
      <c r="T35" s="281"/>
      <c r="U35" s="281"/>
      <c r="V35" s="280"/>
    </row>
    <row r="36" spans="2:22" s="76" customFormat="1" ht="16.5" customHeight="1" x14ac:dyDescent="0.3">
      <c r="B36" s="270"/>
      <c r="C36" s="76" t="s">
        <v>401</v>
      </c>
      <c r="D36" s="281"/>
      <c r="E36" s="281"/>
      <c r="F36" s="281"/>
      <c r="G36" s="281"/>
      <c r="H36" s="281"/>
      <c r="I36" s="281"/>
      <c r="J36" s="281"/>
      <c r="K36" s="281"/>
      <c r="L36" s="281"/>
      <c r="M36" s="281"/>
      <c r="N36" s="281"/>
      <c r="O36" s="281"/>
      <c r="P36" s="281"/>
      <c r="Q36" s="280"/>
      <c r="R36" s="280"/>
      <c r="S36" s="280"/>
      <c r="T36" s="281"/>
      <c r="U36" s="281"/>
      <c r="V36" s="280"/>
    </row>
    <row r="37" spans="2:22" s="76" customFormat="1" ht="16.5" customHeight="1" x14ac:dyDescent="0.3">
      <c r="B37" s="270"/>
      <c r="C37" s="76" t="s">
        <v>402</v>
      </c>
      <c r="D37" s="281"/>
      <c r="E37" s="281"/>
      <c r="F37" s="281"/>
      <c r="G37" s="281"/>
      <c r="H37" s="281"/>
      <c r="I37" s="281"/>
      <c r="J37" s="281"/>
      <c r="K37" s="281"/>
      <c r="L37" s="281"/>
      <c r="M37" s="281"/>
      <c r="N37" s="281"/>
      <c r="O37" s="281"/>
      <c r="P37" s="281"/>
      <c r="Q37" s="280"/>
      <c r="R37" s="280"/>
      <c r="S37" s="280"/>
      <c r="T37" s="281"/>
      <c r="U37" s="281"/>
      <c r="V37" s="280"/>
    </row>
    <row r="38" spans="2:22" s="76" customFormat="1" ht="16.5" customHeight="1" x14ac:dyDescent="0.3">
      <c r="B38" s="270"/>
      <c r="C38" s="76" t="s">
        <v>403</v>
      </c>
      <c r="D38" s="281"/>
      <c r="E38" s="281"/>
      <c r="F38" s="281"/>
      <c r="G38" s="281"/>
      <c r="H38" s="281"/>
      <c r="I38" s="281"/>
      <c r="J38" s="281"/>
      <c r="K38" s="281"/>
      <c r="L38" s="281"/>
      <c r="M38" s="281"/>
      <c r="N38" s="281"/>
      <c r="O38" s="281"/>
      <c r="P38" s="281"/>
      <c r="Q38" s="280"/>
      <c r="R38" s="280"/>
      <c r="S38" s="280"/>
      <c r="T38" s="281"/>
      <c r="U38" s="281"/>
      <c r="V38" s="280"/>
    </row>
    <row r="39" spans="2:22" s="76" customFormat="1" ht="16.5" customHeight="1" x14ac:dyDescent="0.3">
      <c r="B39" s="270"/>
      <c r="C39" s="76" t="s">
        <v>404</v>
      </c>
      <c r="D39" s="281"/>
      <c r="E39" s="281"/>
      <c r="F39" s="281"/>
      <c r="G39" s="281"/>
      <c r="H39" s="281"/>
      <c r="I39" s="281"/>
      <c r="J39" s="281"/>
      <c r="K39" s="281"/>
      <c r="L39" s="281"/>
      <c r="M39" s="281"/>
      <c r="N39" s="281"/>
      <c r="O39" s="281"/>
      <c r="P39" s="281"/>
      <c r="Q39" s="280"/>
      <c r="R39" s="280"/>
      <c r="S39" s="280"/>
      <c r="T39" s="281"/>
      <c r="U39" s="281"/>
      <c r="V39" s="280"/>
    </row>
    <row r="40" spans="2:22" s="76" customFormat="1" ht="16.5" customHeight="1" x14ac:dyDescent="0.3">
      <c r="B40" s="270"/>
      <c r="C40" s="76" t="s">
        <v>405</v>
      </c>
      <c r="D40" s="281"/>
      <c r="E40" s="281"/>
      <c r="F40" s="281"/>
      <c r="G40" s="281"/>
      <c r="H40" s="281"/>
      <c r="I40" s="281"/>
      <c r="J40" s="281"/>
      <c r="K40" s="281"/>
      <c r="L40" s="281"/>
      <c r="M40" s="281"/>
      <c r="N40" s="281"/>
      <c r="O40" s="281"/>
      <c r="P40" s="281"/>
      <c r="Q40" s="280"/>
      <c r="R40" s="280"/>
      <c r="S40" s="280"/>
      <c r="T40" s="281"/>
      <c r="U40" s="281"/>
      <c r="V40" s="280"/>
    </row>
    <row r="41" spans="2:22" s="76" customFormat="1" ht="16.5" customHeight="1" x14ac:dyDescent="0.3">
      <c r="B41" s="270"/>
      <c r="C41" s="76" t="s">
        <v>406</v>
      </c>
      <c r="D41" s="281"/>
      <c r="E41" s="281"/>
      <c r="F41" s="281"/>
      <c r="G41" s="281"/>
      <c r="H41" s="281"/>
      <c r="I41" s="281"/>
      <c r="J41" s="281"/>
      <c r="K41" s="281"/>
      <c r="L41" s="281"/>
      <c r="M41" s="281"/>
      <c r="N41" s="281"/>
      <c r="O41" s="281"/>
      <c r="P41" s="281"/>
      <c r="Q41" s="280"/>
      <c r="R41" s="280"/>
      <c r="S41" s="280"/>
      <c r="T41" s="281"/>
      <c r="U41" s="281"/>
      <c r="V41" s="280"/>
    </row>
    <row r="42" spans="2:22" s="76" customFormat="1" ht="16.5" customHeight="1" x14ac:dyDescent="0.3">
      <c r="B42" s="270"/>
      <c r="C42" s="76" t="s">
        <v>407</v>
      </c>
      <c r="D42" s="281"/>
      <c r="E42" s="281"/>
      <c r="F42" s="281"/>
      <c r="G42" s="281"/>
      <c r="H42" s="281"/>
      <c r="I42" s="281"/>
      <c r="J42" s="281"/>
      <c r="K42" s="281"/>
      <c r="L42" s="281"/>
      <c r="M42" s="281"/>
      <c r="N42" s="281"/>
      <c r="O42" s="281"/>
      <c r="P42" s="281"/>
      <c r="Q42" s="280"/>
      <c r="R42" s="280"/>
      <c r="S42" s="280"/>
      <c r="T42" s="281"/>
      <c r="U42" s="281"/>
      <c r="V42" s="280"/>
    </row>
    <row r="43" spans="2:22" s="76" customFormat="1" ht="16.5" customHeight="1" x14ac:dyDescent="0.3">
      <c r="B43" s="270"/>
      <c r="C43" s="76" t="s">
        <v>408</v>
      </c>
      <c r="D43" s="281"/>
      <c r="E43" s="281"/>
      <c r="F43" s="281"/>
      <c r="G43" s="281"/>
      <c r="H43" s="281"/>
      <c r="I43" s="281"/>
      <c r="J43" s="281"/>
      <c r="K43" s="281"/>
      <c r="L43" s="281"/>
      <c r="M43" s="281"/>
      <c r="N43" s="281"/>
      <c r="O43" s="281"/>
      <c r="P43" s="281"/>
      <c r="Q43" s="280"/>
      <c r="R43" s="280"/>
      <c r="S43" s="280"/>
      <c r="T43" s="281"/>
      <c r="U43" s="281"/>
      <c r="V43" s="280"/>
    </row>
    <row r="44" spans="2:22" s="76" customFormat="1" ht="16.5" customHeight="1" x14ac:dyDescent="0.3">
      <c r="B44" s="270"/>
      <c r="C44" s="76" t="s">
        <v>409</v>
      </c>
      <c r="D44" s="281"/>
      <c r="E44" s="281"/>
      <c r="F44" s="281"/>
      <c r="G44" s="281"/>
      <c r="H44" s="281"/>
      <c r="I44" s="281"/>
      <c r="J44" s="281"/>
      <c r="K44" s="281"/>
      <c r="L44" s="281"/>
      <c r="M44" s="281"/>
      <c r="N44" s="281"/>
      <c r="O44" s="281"/>
      <c r="P44" s="281"/>
      <c r="Q44" s="280"/>
      <c r="R44" s="280"/>
      <c r="S44" s="280"/>
      <c r="T44" s="281"/>
      <c r="U44" s="281"/>
      <c r="V44" s="280"/>
    </row>
    <row r="45" spans="2:22" s="76" customFormat="1" ht="16.5" customHeight="1" x14ac:dyDescent="0.3">
      <c r="B45" s="270"/>
      <c r="C45" s="76" t="s">
        <v>410</v>
      </c>
      <c r="D45" s="281"/>
      <c r="E45" s="281"/>
      <c r="F45" s="281"/>
      <c r="G45" s="281"/>
      <c r="H45" s="281"/>
      <c r="I45" s="281"/>
      <c r="J45" s="281"/>
      <c r="K45" s="281"/>
      <c r="L45" s="281"/>
      <c r="M45" s="281"/>
      <c r="N45" s="281"/>
      <c r="O45" s="281"/>
      <c r="P45" s="281"/>
      <c r="Q45" s="280"/>
      <c r="R45" s="280"/>
      <c r="S45" s="280"/>
      <c r="T45" s="281"/>
      <c r="U45" s="281"/>
      <c r="V45" s="280"/>
    </row>
    <row r="46" spans="2:22" s="76" customFormat="1" ht="16.5" customHeight="1" x14ac:dyDescent="0.3">
      <c r="B46" s="270"/>
      <c r="C46" s="76" t="s">
        <v>411</v>
      </c>
      <c r="D46" s="281"/>
      <c r="E46" s="281"/>
      <c r="F46" s="281"/>
      <c r="G46" s="281"/>
      <c r="H46" s="281"/>
      <c r="I46" s="281"/>
      <c r="J46" s="281"/>
      <c r="K46" s="281"/>
      <c r="L46" s="281"/>
      <c r="M46" s="281"/>
      <c r="N46" s="281"/>
      <c r="O46" s="281"/>
      <c r="P46" s="281"/>
      <c r="Q46" s="280"/>
      <c r="R46" s="280"/>
      <c r="S46" s="280"/>
      <c r="T46" s="281"/>
      <c r="U46" s="281"/>
      <c r="V46" s="280"/>
    </row>
    <row r="47" spans="2:22" s="76" customFormat="1" ht="16.5" customHeight="1" x14ac:dyDescent="0.3">
      <c r="B47" s="270"/>
      <c r="C47" s="76" t="s">
        <v>412</v>
      </c>
      <c r="D47" s="281"/>
      <c r="E47" s="281"/>
      <c r="F47" s="281"/>
      <c r="G47" s="281"/>
      <c r="H47" s="281"/>
      <c r="I47" s="281"/>
      <c r="J47" s="281"/>
      <c r="K47" s="281"/>
      <c r="L47" s="281"/>
      <c r="M47" s="281"/>
      <c r="N47" s="281"/>
      <c r="O47" s="281"/>
      <c r="P47" s="281"/>
      <c r="Q47" s="280"/>
      <c r="R47" s="280"/>
      <c r="S47" s="280"/>
      <c r="T47" s="281"/>
      <c r="U47" s="281"/>
      <c r="V47" s="280"/>
    </row>
    <row r="48" spans="2:22" s="76" customFormat="1" ht="16.5" customHeight="1" x14ac:dyDescent="0.3">
      <c r="B48" s="270"/>
      <c r="C48" s="76" t="s">
        <v>413</v>
      </c>
      <c r="D48" s="281"/>
      <c r="E48" s="281"/>
      <c r="F48" s="281"/>
      <c r="G48" s="281"/>
      <c r="H48" s="281"/>
      <c r="I48" s="281"/>
      <c r="J48" s="281"/>
      <c r="K48" s="281"/>
      <c r="L48" s="281"/>
      <c r="M48" s="281"/>
      <c r="N48" s="281"/>
      <c r="O48" s="281"/>
      <c r="P48" s="281"/>
      <c r="Q48" s="281"/>
      <c r="R48" s="281"/>
      <c r="S48" s="281"/>
      <c r="T48" s="280"/>
      <c r="U48" s="280"/>
      <c r="V48" s="281"/>
    </row>
    <row r="49" spans="2:22" x14ac:dyDescent="0.3">
      <c r="B49" s="74" t="s">
        <v>221</v>
      </c>
      <c r="C49" s="76"/>
      <c r="D49" s="285" t="s">
        <v>333</v>
      </c>
      <c r="E49" s="285" t="s">
        <v>333</v>
      </c>
      <c r="F49" s="285" t="s">
        <v>332</v>
      </c>
      <c r="G49" s="285" t="s">
        <v>334</v>
      </c>
      <c r="H49" s="285" t="s">
        <v>338</v>
      </c>
      <c r="I49" s="285" t="s">
        <v>338</v>
      </c>
      <c r="J49" s="285" t="s">
        <v>331</v>
      </c>
      <c r="K49" s="285" t="s">
        <v>333</v>
      </c>
      <c r="L49" s="285" t="s">
        <v>333</v>
      </c>
      <c r="M49" s="285" t="s">
        <v>332</v>
      </c>
      <c r="N49" s="283" t="s">
        <v>336</v>
      </c>
      <c r="O49" s="285" t="s">
        <v>334</v>
      </c>
      <c r="P49" s="285" t="s">
        <v>334</v>
      </c>
      <c r="Q49" s="283" t="s">
        <v>339</v>
      </c>
      <c r="R49" s="283" t="s">
        <v>340</v>
      </c>
      <c r="S49" s="283" t="s">
        <v>341</v>
      </c>
      <c r="T49" s="283" t="s">
        <v>342</v>
      </c>
      <c r="U49" s="283" t="s">
        <v>342</v>
      </c>
      <c r="V49" s="283" t="s">
        <v>342</v>
      </c>
    </row>
    <row r="50" spans="2:22" x14ac:dyDescent="0.3">
      <c r="C50" s="276" t="s">
        <v>343</v>
      </c>
      <c r="D50" s="286"/>
      <c r="E50" s="286"/>
      <c r="F50" s="286"/>
      <c r="G50" s="286"/>
      <c r="H50" s="286"/>
      <c r="I50" s="286"/>
      <c r="J50" s="286"/>
      <c r="K50" s="286"/>
      <c r="L50" s="286"/>
      <c r="M50" s="286"/>
      <c r="N50" s="284"/>
      <c r="O50" s="286"/>
      <c r="P50" s="286"/>
      <c r="Q50" s="284"/>
      <c r="R50" s="284"/>
      <c r="S50" s="284"/>
      <c r="T50" s="284"/>
      <c r="U50" s="284"/>
      <c r="V50" s="284"/>
    </row>
    <row r="51" spans="2:22" x14ac:dyDescent="0.3">
      <c r="C51" s="76" t="s">
        <v>222</v>
      </c>
      <c r="D51" s="267"/>
      <c r="E51" s="266"/>
      <c r="F51" s="266"/>
      <c r="G51" s="268"/>
      <c r="H51" s="267"/>
      <c r="I51" s="268"/>
      <c r="J51" s="267"/>
      <c r="K51" s="267"/>
      <c r="L51" s="268"/>
      <c r="M51" s="268"/>
      <c r="N51" s="267"/>
      <c r="O51" s="267"/>
      <c r="P51" s="267"/>
      <c r="Q51" s="267"/>
      <c r="R51" s="267"/>
      <c r="S51" s="267"/>
      <c r="T51" s="268"/>
      <c r="U51" s="266"/>
      <c r="V51" s="267"/>
    </row>
    <row r="52" spans="2:22" x14ac:dyDescent="0.3">
      <c r="C52" s="76" t="s">
        <v>223</v>
      </c>
      <c r="D52" s="268"/>
      <c r="E52" s="266"/>
      <c r="F52" s="266"/>
      <c r="G52" s="268"/>
      <c r="H52" s="268"/>
      <c r="I52" s="268"/>
      <c r="J52" s="268"/>
      <c r="K52" s="268"/>
      <c r="L52" s="268"/>
      <c r="M52" s="268"/>
      <c r="N52" s="267"/>
      <c r="O52" s="268"/>
      <c r="P52" s="268"/>
      <c r="Q52" s="267"/>
      <c r="R52" s="267"/>
      <c r="S52" s="267"/>
      <c r="T52" s="267"/>
      <c r="U52" s="267"/>
      <c r="V52" s="268"/>
    </row>
    <row r="53" spans="2:22" x14ac:dyDescent="0.3">
      <c r="C53" s="76" t="s">
        <v>344</v>
      </c>
      <c r="D53" s="268"/>
      <c r="E53" s="266"/>
      <c r="F53" s="266"/>
      <c r="G53" s="267"/>
      <c r="H53" s="267"/>
      <c r="I53" s="267"/>
      <c r="J53" s="267"/>
      <c r="K53" s="267"/>
      <c r="L53" s="267"/>
      <c r="M53" s="268"/>
      <c r="N53" s="267"/>
      <c r="O53" s="267"/>
      <c r="P53" s="267"/>
      <c r="Q53" s="267"/>
      <c r="R53" s="267"/>
      <c r="S53" s="267"/>
      <c r="T53" s="267"/>
      <c r="U53" s="267"/>
      <c r="V53" s="268"/>
    </row>
    <row r="54" spans="2:22" x14ac:dyDescent="0.3">
      <c r="C54" s="76" t="s">
        <v>224</v>
      </c>
      <c r="D54" s="268"/>
      <c r="E54" s="266"/>
      <c r="F54" s="266"/>
      <c r="G54" s="268"/>
      <c r="H54" s="267"/>
      <c r="I54" s="268"/>
      <c r="J54" s="268"/>
      <c r="K54" s="268"/>
      <c r="L54" s="267"/>
      <c r="M54" s="268"/>
      <c r="N54" s="268"/>
      <c r="O54" s="267"/>
      <c r="P54" s="268"/>
      <c r="Q54" s="267"/>
      <c r="R54" s="267"/>
      <c r="S54" s="267"/>
      <c r="T54" s="266"/>
      <c r="U54" s="266"/>
      <c r="V54" s="268"/>
    </row>
    <row r="55" spans="2:22" x14ac:dyDescent="0.3">
      <c r="C55" s="75" t="s">
        <v>225</v>
      </c>
      <c r="D55" s="268"/>
      <c r="E55" s="266"/>
      <c r="F55" s="266"/>
      <c r="G55" s="268"/>
      <c r="H55" s="268"/>
      <c r="I55" s="268"/>
      <c r="J55" s="268"/>
      <c r="K55" s="268"/>
      <c r="L55" s="268"/>
      <c r="M55" s="268"/>
      <c r="N55" s="268"/>
      <c r="O55" s="268"/>
      <c r="P55" s="268"/>
      <c r="Q55" s="267"/>
      <c r="R55" s="267"/>
      <c r="S55" s="267"/>
      <c r="T55" s="266"/>
      <c r="U55" s="266"/>
      <c r="V55" s="268"/>
    </row>
    <row r="56" spans="2:22" x14ac:dyDescent="0.3">
      <c r="C56" s="76" t="s">
        <v>226</v>
      </c>
      <c r="D56" s="268"/>
      <c r="E56" s="266"/>
      <c r="F56" s="277"/>
      <c r="G56" s="268"/>
      <c r="H56" s="267"/>
      <c r="I56" s="268"/>
      <c r="J56" s="268"/>
      <c r="K56" s="268"/>
      <c r="L56" s="267"/>
      <c r="M56" s="268"/>
      <c r="N56" s="268"/>
      <c r="O56" s="268"/>
      <c r="P56" s="268"/>
      <c r="Q56" s="267"/>
      <c r="R56" s="267"/>
      <c r="S56" s="267"/>
      <c r="T56" s="266"/>
      <c r="U56" s="266"/>
      <c r="V56" s="268"/>
    </row>
    <row r="57" spans="2:22" x14ac:dyDescent="0.3">
      <c r="C57" s="76" t="s">
        <v>227</v>
      </c>
      <c r="D57" s="268"/>
      <c r="E57" s="266"/>
      <c r="F57" s="266"/>
      <c r="G57" s="268"/>
      <c r="H57" s="268"/>
      <c r="I57" s="268"/>
      <c r="J57" s="268"/>
      <c r="K57" s="268"/>
      <c r="L57" s="268"/>
      <c r="M57" s="268"/>
      <c r="N57" s="268"/>
      <c r="O57" s="267"/>
      <c r="P57" s="268"/>
      <c r="Q57" s="267"/>
      <c r="R57" s="267"/>
      <c r="S57" s="267"/>
      <c r="T57" s="266"/>
      <c r="U57" s="266"/>
      <c r="V57" s="268"/>
    </row>
    <row r="58" spans="2:22" x14ac:dyDescent="0.3">
      <c r="C58" s="76" t="s">
        <v>228</v>
      </c>
      <c r="D58" s="268"/>
      <c r="E58" s="266"/>
      <c r="F58" s="266"/>
      <c r="G58" s="268"/>
      <c r="H58" s="268"/>
      <c r="I58" s="268"/>
      <c r="J58" s="268"/>
      <c r="K58" s="268"/>
      <c r="L58" s="268"/>
      <c r="M58" s="268"/>
      <c r="N58" s="268"/>
      <c r="O58" s="268"/>
      <c r="P58" s="268"/>
      <c r="Q58" s="267"/>
      <c r="R58" s="267"/>
      <c r="S58" s="267"/>
      <c r="T58" s="266"/>
      <c r="U58" s="266"/>
      <c r="V58" s="268"/>
    </row>
    <row r="59" spans="2:22" x14ac:dyDescent="0.3">
      <c r="C59" s="76" t="s">
        <v>229</v>
      </c>
      <c r="D59" s="268"/>
      <c r="E59" s="266"/>
      <c r="F59" s="266"/>
      <c r="G59" s="268"/>
      <c r="H59" s="267"/>
      <c r="I59" s="268"/>
      <c r="J59" s="267"/>
      <c r="K59" s="268"/>
      <c r="L59" s="268"/>
      <c r="M59" s="268"/>
      <c r="N59" s="267"/>
      <c r="O59" s="268"/>
      <c r="P59" s="267"/>
      <c r="Q59" s="267"/>
      <c r="R59" s="267"/>
      <c r="S59" s="267"/>
      <c r="T59" s="266"/>
      <c r="U59" s="266"/>
      <c r="V59" s="267"/>
    </row>
    <row r="60" spans="2:22" x14ac:dyDescent="0.3">
      <c r="C60" s="76" t="s">
        <v>230</v>
      </c>
      <c r="D60" s="268"/>
      <c r="E60" s="266"/>
      <c r="F60" s="266"/>
      <c r="G60" s="268"/>
      <c r="H60" s="268"/>
      <c r="I60" s="268"/>
      <c r="J60" s="268"/>
      <c r="K60" s="268"/>
      <c r="L60" s="268"/>
      <c r="M60" s="268"/>
      <c r="N60" s="267"/>
      <c r="O60" s="267"/>
      <c r="P60" s="267"/>
      <c r="Q60" s="267"/>
      <c r="R60" s="267"/>
      <c r="S60" s="267"/>
      <c r="T60" s="266"/>
      <c r="U60" s="266"/>
      <c r="V60" s="268"/>
    </row>
    <row r="61" spans="2:22" x14ac:dyDescent="0.3">
      <c r="C61" s="76" t="s">
        <v>231</v>
      </c>
      <c r="D61" s="268"/>
      <c r="E61" s="267"/>
      <c r="F61" s="266"/>
      <c r="G61" s="268"/>
      <c r="H61" s="268"/>
      <c r="I61" s="268"/>
      <c r="J61" s="268"/>
      <c r="K61" s="267"/>
      <c r="L61" s="268"/>
      <c r="M61" s="268"/>
      <c r="N61" s="268"/>
      <c r="O61" s="268"/>
      <c r="P61" s="268"/>
      <c r="Q61" s="267"/>
      <c r="R61" s="267"/>
      <c r="S61" s="267"/>
      <c r="T61" s="268"/>
      <c r="U61" s="266"/>
      <c r="V61" s="267"/>
    </row>
    <row r="62" spans="2:22" x14ac:dyDescent="0.3">
      <c r="C62" s="75" t="s">
        <v>232</v>
      </c>
      <c r="D62" s="268"/>
      <c r="E62" s="266"/>
      <c r="F62" s="266"/>
      <c r="G62" s="268"/>
      <c r="H62" s="268"/>
      <c r="I62" s="268"/>
      <c r="J62" s="268"/>
      <c r="K62" s="268"/>
      <c r="L62" s="268"/>
      <c r="M62" s="268"/>
      <c r="N62" s="268"/>
      <c r="O62" s="267"/>
      <c r="P62" s="268"/>
      <c r="Q62" s="267"/>
      <c r="R62" s="267"/>
      <c r="S62" s="267"/>
      <c r="T62" s="266"/>
      <c r="U62" s="266"/>
      <c r="V62" s="268"/>
    </row>
    <row r="63" spans="2:22" x14ac:dyDescent="0.3">
      <c r="C63" s="76" t="s">
        <v>345</v>
      </c>
      <c r="D63" s="268"/>
      <c r="E63" s="266"/>
      <c r="F63" s="266"/>
      <c r="G63" s="268"/>
      <c r="H63" s="268"/>
      <c r="I63" s="268"/>
      <c r="J63" s="268"/>
      <c r="K63" s="268"/>
      <c r="L63" s="268"/>
      <c r="M63" s="268"/>
      <c r="N63" s="268"/>
      <c r="O63" s="268"/>
      <c r="P63" s="268"/>
      <c r="Q63" s="267"/>
      <c r="R63" s="267"/>
      <c r="S63" s="267"/>
      <c r="T63" s="266"/>
      <c r="U63" s="266"/>
      <c r="V63" s="268"/>
    </row>
    <row r="64" spans="2:22" x14ac:dyDescent="0.3">
      <c r="C64" s="75" t="s">
        <v>233</v>
      </c>
      <c r="D64" s="267"/>
      <c r="E64" s="266"/>
      <c r="F64" s="266"/>
      <c r="G64" s="268"/>
      <c r="H64" s="267"/>
      <c r="I64" s="268"/>
      <c r="J64" s="268"/>
      <c r="K64" s="268"/>
      <c r="L64" s="267"/>
      <c r="M64" s="268"/>
      <c r="N64" s="267"/>
      <c r="O64" s="267"/>
      <c r="P64" s="267"/>
      <c r="Q64" s="267"/>
      <c r="R64" s="267"/>
      <c r="S64" s="267"/>
      <c r="T64" s="266"/>
      <c r="U64" s="266"/>
      <c r="V64" s="268"/>
    </row>
    <row r="65" spans="3:22" x14ac:dyDescent="0.3">
      <c r="C65" s="75" t="s">
        <v>234</v>
      </c>
      <c r="D65" s="268"/>
      <c r="E65" s="266"/>
      <c r="F65" s="266"/>
      <c r="G65" s="268"/>
      <c r="H65" s="267"/>
      <c r="I65" s="268"/>
      <c r="J65" s="268"/>
      <c r="K65" s="268"/>
      <c r="L65" s="267"/>
      <c r="M65" s="268"/>
      <c r="N65" s="267"/>
      <c r="O65" s="268"/>
      <c r="P65" s="267"/>
      <c r="Q65" s="267"/>
      <c r="R65" s="267"/>
      <c r="S65" s="267"/>
      <c r="T65" s="268"/>
      <c r="U65" s="266"/>
      <c r="V65" s="268"/>
    </row>
    <row r="66" spans="3:22" x14ac:dyDescent="0.3">
      <c r="C66" s="75" t="s">
        <v>354</v>
      </c>
      <c r="D66" s="268"/>
      <c r="E66" s="266"/>
      <c r="F66" s="266"/>
      <c r="G66" s="268"/>
      <c r="H66" s="267"/>
      <c r="I66" s="268"/>
      <c r="J66" s="268"/>
      <c r="K66" s="268"/>
      <c r="L66" s="267"/>
      <c r="M66" s="268"/>
      <c r="N66" s="267"/>
      <c r="O66" s="268"/>
      <c r="P66" s="267"/>
      <c r="Q66" s="267"/>
      <c r="R66" s="267"/>
      <c r="S66" s="267"/>
      <c r="T66" s="268"/>
      <c r="U66" s="266"/>
      <c r="V66" s="267"/>
    </row>
    <row r="67" spans="3:22" x14ac:dyDescent="0.3">
      <c r="C67" s="75" t="s">
        <v>235</v>
      </c>
      <c r="D67" s="268"/>
      <c r="E67" s="266"/>
      <c r="F67" s="266"/>
      <c r="G67" s="268"/>
      <c r="H67" s="268"/>
      <c r="I67" s="268"/>
      <c r="J67" s="268"/>
      <c r="K67" s="268"/>
      <c r="L67" s="268"/>
      <c r="M67" s="268"/>
      <c r="N67" s="268"/>
      <c r="O67" s="268"/>
      <c r="P67" s="268"/>
      <c r="Q67" s="267"/>
      <c r="R67" s="267"/>
      <c r="S67" s="267"/>
      <c r="T67" s="266"/>
      <c r="U67" s="266"/>
      <c r="V67" s="266"/>
    </row>
    <row r="68" spans="3:22" x14ac:dyDescent="0.3">
      <c r="C68" t="s">
        <v>236</v>
      </c>
      <c r="D68" s="268"/>
      <c r="E68" s="266"/>
      <c r="F68" s="266"/>
      <c r="G68" s="268"/>
      <c r="H68" s="267"/>
      <c r="I68" s="268"/>
      <c r="J68" s="268"/>
      <c r="K68" s="268"/>
      <c r="L68" s="268"/>
      <c r="M68" s="268"/>
      <c r="N68" s="268"/>
      <c r="O68" s="268"/>
      <c r="P68" s="267"/>
      <c r="Q68" s="267"/>
      <c r="R68" s="267"/>
      <c r="S68" s="267"/>
      <c r="T68" s="266"/>
      <c r="U68" s="266"/>
      <c r="V68" s="266"/>
    </row>
    <row r="69" spans="3:22" x14ac:dyDescent="0.3">
      <c r="C69" s="75" t="s">
        <v>237</v>
      </c>
      <c r="D69" s="268"/>
      <c r="E69" s="266"/>
      <c r="F69" s="266"/>
      <c r="G69" s="268"/>
      <c r="H69" s="268"/>
      <c r="I69" s="268"/>
      <c r="J69" s="268"/>
      <c r="K69" s="268"/>
      <c r="L69" s="268"/>
      <c r="M69" s="268"/>
      <c r="N69" s="268"/>
      <c r="O69" s="268"/>
      <c r="P69" s="268"/>
      <c r="Q69" s="267"/>
      <c r="R69" s="267"/>
      <c r="S69" s="267"/>
      <c r="T69" s="266"/>
      <c r="U69" s="266"/>
      <c r="V69" s="266"/>
    </row>
    <row r="70" spans="3:22" ht="15.75" customHeight="1" x14ac:dyDescent="0.3">
      <c r="C70" s="75" t="s">
        <v>238</v>
      </c>
      <c r="D70" s="268"/>
      <c r="E70" s="266"/>
      <c r="F70" s="266"/>
      <c r="G70" s="268"/>
      <c r="H70" s="268"/>
      <c r="I70" s="268"/>
      <c r="J70" s="268"/>
      <c r="K70" s="268"/>
      <c r="L70" s="268"/>
      <c r="M70" s="268"/>
      <c r="N70" s="268"/>
      <c r="O70" s="268"/>
      <c r="P70" s="268"/>
      <c r="Q70" s="267"/>
      <c r="R70" s="267"/>
      <c r="S70" s="267"/>
      <c r="T70" s="266"/>
      <c r="U70" s="266"/>
      <c r="V70" s="266"/>
    </row>
    <row r="71" spans="3:22" x14ac:dyDescent="0.3">
      <c r="C71" s="76" t="s">
        <v>239</v>
      </c>
      <c r="D71" s="267"/>
      <c r="E71" s="267"/>
      <c r="F71" s="267"/>
      <c r="G71" s="268"/>
      <c r="H71" s="267"/>
      <c r="I71" s="268"/>
      <c r="J71" s="268"/>
      <c r="K71" s="268"/>
      <c r="L71" s="268"/>
      <c r="M71" s="268"/>
      <c r="N71" s="267"/>
      <c r="O71" s="267"/>
      <c r="P71" s="268"/>
      <c r="Q71" s="266"/>
      <c r="R71" s="266"/>
      <c r="S71" s="266"/>
      <c r="T71" s="266"/>
      <c r="U71" s="266"/>
      <c r="V71" s="266"/>
    </row>
    <row r="72" spans="3:22" x14ac:dyDescent="0.3">
      <c r="C72" s="76" t="s">
        <v>240</v>
      </c>
      <c r="D72" s="267"/>
      <c r="E72" s="266"/>
      <c r="F72" s="268"/>
      <c r="G72" s="268"/>
      <c r="H72" s="268"/>
      <c r="I72" s="268"/>
      <c r="J72" s="268"/>
      <c r="K72" s="268"/>
      <c r="L72" s="268"/>
      <c r="M72" s="268"/>
      <c r="N72" s="268"/>
      <c r="O72" s="268"/>
      <c r="P72" s="268"/>
      <c r="Q72" s="266"/>
      <c r="R72" s="266"/>
      <c r="S72" s="266"/>
      <c r="T72" s="266"/>
      <c r="U72" s="266"/>
      <c r="V72" s="266"/>
    </row>
    <row r="73" spans="3:22" ht="49.5" x14ac:dyDescent="0.3">
      <c r="C73" s="269" t="s">
        <v>241</v>
      </c>
      <c r="D73" s="268"/>
      <c r="E73" s="266"/>
      <c r="F73" s="266"/>
      <c r="G73" s="268"/>
      <c r="H73" s="268"/>
      <c r="I73" s="268"/>
      <c r="J73" s="267"/>
      <c r="K73" s="268"/>
      <c r="L73" s="268"/>
      <c r="M73" s="268"/>
      <c r="N73" s="268"/>
      <c r="O73" s="268"/>
      <c r="P73" s="268"/>
      <c r="Q73" s="266"/>
      <c r="R73" s="266"/>
      <c r="S73" s="266"/>
      <c r="T73" s="266"/>
      <c r="U73" s="266"/>
      <c r="V73" s="267"/>
    </row>
    <row r="74" spans="3:22" x14ac:dyDescent="0.3">
      <c r="C74" s="76" t="s">
        <v>414</v>
      </c>
      <c r="D74" s="268"/>
      <c r="E74" s="267"/>
      <c r="F74" s="266"/>
      <c r="G74" s="268"/>
      <c r="H74" s="268"/>
      <c r="I74" s="268"/>
      <c r="J74" s="268"/>
      <c r="K74" s="268"/>
      <c r="L74" s="268"/>
      <c r="M74" s="268"/>
      <c r="N74" s="268"/>
      <c r="O74" s="268"/>
      <c r="P74" s="268"/>
      <c r="Q74" s="266"/>
      <c r="R74" s="266"/>
      <c r="S74" s="266"/>
      <c r="T74" s="266"/>
      <c r="U74" s="266"/>
      <c r="V74" s="266"/>
    </row>
    <row r="75" spans="3:22" x14ac:dyDescent="0.3">
      <c r="C75" s="76" t="s">
        <v>242</v>
      </c>
      <c r="D75" s="268"/>
      <c r="E75" s="267"/>
      <c r="F75" s="266"/>
      <c r="G75" s="268"/>
      <c r="H75" s="268"/>
      <c r="I75" s="268"/>
      <c r="J75" s="268"/>
      <c r="K75" s="268"/>
      <c r="L75" s="268"/>
      <c r="M75" s="268"/>
      <c r="N75" s="268"/>
      <c r="O75" s="268"/>
      <c r="P75" s="268"/>
      <c r="Q75" s="266"/>
      <c r="R75" s="266"/>
      <c r="S75" s="266"/>
      <c r="T75" s="266"/>
      <c r="U75" s="266"/>
      <c r="V75" s="266"/>
    </row>
    <row r="76" spans="3:22" x14ac:dyDescent="0.3">
      <c r="C76" s="76" t="s">
        <v>243</v>
      </c>
      <c r="D76" s="268"/>
      <c r="E76" s="267"/>
      <c r="F76" s="268"/>
      <c r="G76" s="268"/>
      <c r="H76" s="268"/>
      <c r="I76" s="268"/>
      <c r="J76" s="268"/>
      <c r="K76" s="268"/>
      <c r="L76" s="268"/>
      <c r="M76" s="268"/>
      <c r="N76" s="268"/>
      <c r="O76" s="268"/>
      <c r="P76" s="268"/>
      <c r="Q76" s="266"/>
      <c r="R76" s="266"/>
      <c r="S76" s="266"/>
      <c r="T76" s="266"/>
      <c r="U76" s="266"/>
      <c r="V76" s="266"/>
    </row>
    <row r="77" spans="3:22" x14ac:dyDescent="0.3">
      <c r="C77" s="76" t="s">
        <v>244</v>
      </c>
      <c r="D77" s="268"/>
      <c r="E77" s="266"/>
      <c r="F77" s="266"/>
      <c r="G77" s="268"/>
      <c r="H77" s="268"/>
      <c r="I77" s="268"/>
      <c r="J77" s="268"/>
      <c r="K77" s="268"/>
      <c r="L77" s="268"/>
      <c r="M77" s="268"/>
      <c r="N77" s="267"/>
      <c r="O77" s="268"/>
      <c r="P77" s="268"/>
      <c r="Q77" s="266"/>
      <c r="R77" s="266"/>
      <c r="S77" s="266"/>
      <c r="T77" s="266"/>
      <c r="U77" s="266"/>
      <c r="V77" s="267"/>
    </row>
    <row r="78" spans="3:22" x14ac:dyDescent="0.3">
      <c r="C78" s="76" t="s">
        <v>245</v>
      </c>
      <c r="D78" s="267"/>
      <c r="E78" s="267"/>
      <c r="F78" s="267"/>
      <c r="G78" s="268"/>
      <c r="H78" s="267"/>
      <c r="I78" s="267"/>
      <c r="J78" s="267"/>
      <c r="K78" s="267"/>
      <c r="L78" s="268"/>
      <c r="M78" s="267"/>
      <c r="N78" s="267"/>
      <c r="O78" s="268"/>
      <c r="P78" s="267"/>
      <c r="Q78" s="266"/>
      <c r="R78" s="266"/>
      <c r="S78" s="266"/>
      <c r="T78" s="266"/>
      <c r="U78" s="266"/>
      <c r="V78" s="266"/>
    </row>
    <row r="79" spans="3:22" x14ac:dyDescent="0.3">
      <c r="C79" s="76" t="s">
        <v>246</v>
      </c>
      <c r="D79" s="268"/>
      <c r="E79" s="266"/>
      <c r="F79" s="266"/>
      <c r="G79" s="268"/>
      <c r="H79" s="268"/>
      <c r="I79" s="268"/>
      <c r="J79" s="268"/>
      <c r="K79" s="268"/>
      <c r="L79" s="268"/>
      <c r="M79" s="268"/>
      <c r="N79" s="267"/>
      <c r="O79" s="268"/>
      <c r="P79" s="268"/>
      <c r="Q79" s="266"/>
      <c r="R79" s="266"/>
      <c r="S79" s="266"/>
      <c r="T79" s="266"/>
      <c r="U79" s="266"/>
      <c r="V79" s="266"/>
    </row>
    <row r="80" spans="3:22" x14ac:dyDescent="0.3">
      <c r="C80" s="76" t="s">
        <v>247</v>
      </c>
      <c r="D80" s="268"/>
      <c r="E80" s="266"/>
      <c r="F80" s="266"/>
      <c r="G80" s="268"/>
      <c r="H80" s="268"/>
      <c r="I80" s="268"/>
      <c r="J80" s="268"/>
      <c r="K80" s="268"/>
      <c r="L80" s="268"/>
      <c r="M80" s="268"/>
      <c r="N80" s="267"/>
      <c r="O80" s="267"/>
      <c r="P80" s="268"/>
      <c r="Q80" s="266"/>
      <c r="R80" s="266"/>
      <c r="S80" s="266"/>
      <c r="T80" s="266"/>
      <c r="U80" s="266"/>
      <c r="V80" s="266"/>
    </row>
    <row r="81" spans="2:22" x14ac:dyDescent="0.3">
      <c r="C81" s="76" t="s">
        <v>248</v>
      </c>
      <c r="D81" s="268"/>
      <c r="E81" s="266"/>
      <c r="F81" s="266"/>
      <c r="G81" s="268"/>
      <c r="H81" s="268"/>
      <c r="I81" s="268"/>
      <c r="J81" s="268"/>
      <c r="K81" s="268"/>
      <c r="L81" s="268"/>
      <c r="M81" s="268"/>
      <c r="N81" s="267"/>
      <c r="O81" s="268"/>
      <c r="P81" s="268"/>
      <c r="Q81" s="266"/>
      <c r="R81" s="266"/>
      <c r="S81" s="266"/>
      <c r="T81" s="266"/>
      <c r="U81" s="266"/>
      <c r="V81" s="266"/>
    </row>
    <row r="82" spans="2:22" x14ac:dyDescent="0.3">
      <c r="B82" s="75"/>
      <c r="C82" s="76" t="s">
        <v>249</v>
      </c>
      <c r="D82" s="267"/>
      <c r="E82" s="266"/>
      <c r="F82" s="266"/>
      <c r="G82" s="268"/>
      <c r="H82" s="268"/>
      <c r="I82" s="267"/>
      <c r="J82" s="267"/>
      <c r="K82" s="268"/>
      <c r="L82" s="267"/>
      <c r="M82" s="268"/>
      <c r="N82" s="267"/>
      <c r="O82" s="268"/>
      <c r="P82" s="268"/>
      <c r="Q82" s="266"/>
      <c r="R82" s="266"/>
      <c r="S82" s="266"/>
      <c r="T82" s="266"/>
      <c r="U82" s="266"/>
      <c r="V82" s="266"/>
    </row>
    <row r="83" spans="2:22" x14ac:dyDescent="0.3">
      <c r="B83" s="75"/>
      <c r="C83" s="76" t="s">
        <v>250</v>
      </c>
      <c r="D83" s="268"/>
      <c r="E83" s="266"/>
      <c r="F83" s="266"/>
      <c r="G83" s="268"/>
      <c r="H83" s="268"/>
      <c r="I83" s="268"/>
      <c r="J83" s="268"/>
      <c r="K83" s="268"/>
      <c r="L83" s="268"/>
      <c r="M83" s="268"/>
      <c r="N83" s="267"/>
      <c r="O83" s="267"/>
      <c r="P83" s="268"/>
      <c r="Q83" s="266"/>
      <c r="R83" s="266"/>
      <c r="S83" s="266"/>
      <c r="T83" s="266"/>
      <c r="U83" s="266"/>
      <c r="V83" s="266"/>
    </row>
    <row r="84" spans="2:22" x14ac:dyDescent="0.3">
      <c r="B84" s="75"/>
      <c r="C84" s="75" t="s">
        <v>251</v>
      </c>
      <c r="D84" s="279"/>
      <c r="E84" s="282"/>
      <c r="F84" s="282"/>
      <c r="G84" s="281"/>
      <c r="H84" s="281"/>
      <c r="I84" s="281"/>
      <c r="J84" s="281"/>
      <c r="K84" s="281"/>
      <c r="L84" s="267"/>
      <c r="M84" s="281"/>
      <c r="N84" s="268"/>
      <c r="O84" s="268"/>
      <c r="P84" s="268"/>
      <c r="Q84" s="266"/>
      <c r="R84" s="266"/>
      <c r="S84" s="266"/>
      <c r="T84" s="266"/>
      <c r="U84" s="266"/>
      <c r="V84" s="266"/>
    </row>
    <row r="85" spans="2:22" ht="16.5" customHeight="1" x14ac:dyDescent="0.3">
      <c r="B85" s="75"/>
      <c r="C85" s="75" t="s">
        <v>415</v>
      </c>
      <c r="D85" s="281"/>
      <c r="E85" s="282"/>
      <c r="F85" s="282"/>
      <c r="G85" s="281"/>
      <c r="H85" s="281"/>
      <c r="I85" s="281"/>
      <c r="J85" s="281"/>
      <c r="K85" s="281"/>
      <c r="L85" s="281"/>
      <c r="M85" s="281"/>
      <c r="N85" s="281"/>
      <c r="O85" s="281"/>
      <c r="P85" s="281"/>
      <c r="Q85" s="282"/>
      <c r="R85" s="282"/>
      <c r="S85" s="282"/>
      <c r="T85" s="282"/>
      <c r="U85" s="282"/>
      <c r="V85" s="267"/>
    </row>
    <row r="86" spans="2:22" ht="16.5" customHeight="1" x14ac:dyDescent="0.3">
      <c r="B86" s="75"/>
      <c r="C86" s="75" t="s">
        <v>416</v>
      </c>
      <c r="D86" s="281"/>
      <c r="E86" s="282"/>
      <c r="F86" s="282"/>
      <c r="G86" s="281"/>
      <c r="H86" s="281"/>
      <c r="I86" s="281"/>
      <c r="J86" s="281"/>
      <c r="K86" s="281"/>
      <c r="L86" s="281"/>
      <c r="M86" s="281"/>
      <c r="N86" s="281"/>
      <c r="O86" s="281"/>
      <c r="P86" s="281"/>
      <c r="Q86" s="282"/>
      <c r="R86" s="282"/>
      <c r="S86" s="282"/>
      <c r="T86" s="280"/>
      <c r="U86" s="280"/>
      <c r="V86" s="282"/>
    </row>
    <row r="87" spans="2:22" ht="16.5" customHeight="1" x14ac:dyDescent="0.3">
      <c r="B87" s="75"/>
      <c r="C87" s="75" t="s">
        <v>417</v>
      </c>
      <c r="D87" s="281"/>
      <c r="E87" s="282"/>
      <c r="F87" s="282"/>
      <c r="G87" s="281"/>
      <c r="H87" s="281"/>
      <c r="I87" s="281"/>
      <c r="J87" s="281"/>
      <c r="K87" s="281"/>
      <c r="L87" s="281"/>
      <c r="M87" s="281"/>
      <c r="N87" s="281"/>
      <c r="O87" s="281"/>
      <c r="P87" s="281"/>
      <c r="Q87" s="282"/>
      <c r="R87" s="282"/>
      <c r="S87" s="282"/>
      <c r="T87" s="280"/>
      <c r="U87" s="280"/>
      <c r="V87" s="282"/>
    </row>
    <row r="88" spans="2:22" ht="16.5" customHeight="1" x14ac:dyDescent="0.3">
      <c r="B88" s="75"/>
      <c r="C88" s="75" t="s">
        <v>418</v>
      </c>
      <c r="D88" s="281"/>
      <c r="E88" s="282"/>
      <c r="F88" s="282"/>
      <c r="G88" s="281"/>
      <c r="H88" s="281"/>
      <c r="I88" s="281"/>
      <c r="J88" s="281"/>
      <c r="K88" s="281"/>
      <c r="L88" s="281"/>
      <c r="M88" s="281"/>
      <c r="N88" s="281"/>
      <c r="O88" s="281"/>
      <c r="P88" s="281"/>
      <c r="Q88" s="282"/>
      <c r="R88" s="282"/>
      <c r="S88" s="282"/>
      <c r="T88" s="280"/>
      <c r="U88" s="280"/>
      <c r="V88" s="282"/>
    </row>
    <row r="89" spans="2:22" ht="16.5" customHeight="1" x14ac:dyDescent="0.3">
      <c r="B89" s="75"/>
      <c r="C89" s="75" t="s">
        <v>419</v>
      </c>
      <c r="D89" s="281"/>
      <c r="E89" s="282"/>
      <c r="F89" s="282"/>
      <c r="G89" s="281"/>
      <c r="H89" s="281"/>
      <c r="I89" s="281"/>
      <c r="J89" s="281"/>
      <c r="K89" s="281"/>
      <c r="L89" s="281"/>
      <c r="M89" s="281"/>
      <c r="N89" s="281"/>
      <c r="O89" s="281"/>
      <c r="P89" s="281"/>
      <c r="Q89" s="282"/>
      <c r="R89" s="282"/>
      <c r="S89" s="282"/>
      <c r="T89" s="280"/>
      <c r="U89" s="280"/>
      <c r="V89" s="282"/>
    </row>
    <row r="90" spans="2:22" s="76" customFormat="1" ht="16.5" customHeight="1" x14ac:dyDescent="0.3">
      <c r="C90" t="s">
        <v>370</v>
      </c>
      <c r="D90" s="279"/>
      <c r="E90" s="282"/>
      <c r="F90" s="282"/>
      <c r="G90" s="281"/>
      <c r="H90" s="281"/>
      <c r="I90" s="281"/>
      <c r="J90" s="281"/>
      <c r="K90" s="281"/>
      <c r="L90" s="267"/>
      <c r="M90" s="281"/>
      <c r="N90" s="281"/>
      <c r="O90" s="281"/>
      <c r="P90" s="281"/>
      <c r="Q90" s="282"/>
      <c r="R90" s="282"/>
      <c r="S90" s="282"/>
      <c r="T90" s="282"/>
      <c r="U90" s="282"/>
      <c r="V90" s="281"/>
    </row>
    <row r="91" spans="2:22" s="76" customFormat="1" ht="16.5" customHeight="1" x14ac:dyDescent="0.3">
      <c r="C91" s="75" t="s">
        <v>371</v>
      </c>
      <c r="D91" s="267"/>
      <c r="E91" s="282"/>
      <c r="F91" s="267"/>
      <c r="G91" s="280"/>
      <c r="H91" s="281"/>
      <c r="I91" s="280"/>
      <c r="J91" s="281"/>
      <c r="K91" s="281"/>
      <c r="L91" s="280"/>
      <c r="M91" s="280"/>
      <c r="N91" s="281"/>
      <c r="O91" s="281"/>
      <c r="P91" s="281"/>
      <c r="Q91" s="282"/>
      <c r="R91" s="282"/>
      <c r="S91" s="282"/>
      <c r="T91" s="282"/>
      <c r="U91" s="282"/>
      <c r="V91" s="281"/>
    </row>
    <row r="92" spans="2:22" s="76" customFormat="1" ht="16.5" customHeight="1" x14ac:dyDescent="0.3">
      <c r="C92" s="75" t="s">
        <v>372</v>
      </c>
      <c r="D92" s="280"/>
      <c r="E92" s="282"/>
      <c r="F92" s="267"/>
      <c r="G92" s="280"/>
      <c r="H92" s="281"/>
      <c r="I92" s="280"/>
      <c r="J92" s="281"/>
      <c r="K92" s="281"/>
      <c r="L92" s="280"/>
      <c r="M92" s="280"/>
      <c r="N92" s="281"/>
      <c r="O92" s="281"/>
      <c r="P92" s="281"/>
      <c r="Q92" s="282"/>
      <c r="R92" s="282"/>
      <c r="S92" s="282"/>
      <c r="T92" s="282"/>
      <c r="U92" s="282"/>
      <c r="V92" s="281"/>
    </row>
    <row r="93" spans="2:22" s="76" customFormat="1" ht="16.5" customHeight="1" x14ac:dyDescent="0.3">
      <c r="C93" s="76" t="s">
        <v>373</v>
      </c>
      <c r="D93" s="280"/>
      <c r="E93" s="281"/>
      <c r="F93" s="281"/>
      <c r="G93" s="281"/>
      <c r="H93" s="281"/>
      <c r="I93" s="281"/>
      <c r="J93" s="281"/>
      <c r="K93" s="281"/>
      <c r="L93" s="281"/>
      <c r="M93" s="281"/>
      <c r="N93" s="281"/>
      <c r="O93" s="281"/>
      <c r="P93" s="281"/>
      <c r="Q93" s="281"/>
      <c r="R93" s="281"/>
      <c r="S93" s="281"/>
      <c r="T93" s="281"/>
      <c r="U93" s="281"/>
      <c r="V93" s="281"/>
    </row>
    <row r="94" spans="2:22" s="76" customFormat="1" ht="16.5" customHeight="1" x14ac:dyDescent="0.3">
      <c r="C94" s="76" t="s">
        <v>374</v>
      </c>
      <c r="D94" s="281"/>
      <c r="E94" s="281"/>
      <c r="F94" s="281"/>
      <c r="G94" s="280"/>
      <c r="H94" s="281"/>
      <c r="I94" s="281"/>
      <c r="J94" s="281"/>
      <c r="K94" s="281"/>
      <c r="L94" s="281"/>
      <c r="M94" s="281"/>
      <c r="N94" s="281"/>
      <c r="O94" s="281"/>
      <c r="P94" s="281"/>
      <c r="Q94" s="281"/>
      <c r="R94" s="281"/>
      <c r="S94" s="281"/>
      <c r="T94" s="281"/>
      <c r="U94" s="281"/>
      <c r="V94" s="281"/>
    </row>
    <row r="95" spans="2:22" s="76" customFormat="1" ht="16.5" customHeight="1" x14ac:dyDescent="0.3">
      <c r="C95" s="76" t="s">
        <v>375</v>
      </c>
      <c r="D95" s="281"/>
      <c r="E95" s="281"/>
      <c r="F95" s="281"/>
      <c r="G95" s="281"/>
      <c r="H95" s="281"/>
      <c r="I95" s="281"/>
      <c r="J95" s="281"/>
      <c r="K95" s="281"/>
      <c r="L95" s="280"/>
      <c r="M95" s="281"/>
      <c r="N95" s="281"/>
      <c r="O95" s="281"/>
      <c r="P95" s="281"/>
      <c r="Q95" s="281"/>
      <c r="R95" s="281"/>
      <c r="S95" s="281"/>
      <c r="T95" s="281"/>
      <c r="U95" s="281"/>
      <c r="V95" s="281"/>
    </row>
    <row r="96" spans="2:22" s="76" customFormat="1" ht="16.5" customHeight="1" x14ac:dyDescent="0.3">
      <c r="C96" s="76" t="s">
        <v>376</v>
      </c>
      <c r="D96" s="281"/>
      <c r="E96" s="281"/>
      <c r="F96" s="281"/>
      <c r="G96" s="281"/>
      <c r="H96" s="281"/>
      <c r="I96" s="281"/>
      <c r="J96" s="281"/>
      <c r="K96" s="281"/>
      <c r="L96" s="280"/>
      <c r="M96" s="281"/>
      <c r="N96" s="281"/>
      <c r="O96" s="281"/>
      <c r="P96" s="281"/>
      <c r="Q96" s="281"/>
      <c r="R96" s="281"/>
      <c r="S96" s="281"/>
      <c r="T96" s="281"/>
      <c r="U96" s="281"/>
      <c r="V96" s="281"/>
    </row>
    <row r="97" spans="2:22" s="76" customFormat="1" ht="16.5" customHeight="1" x14ac:dyDescent="0.3">
      <c r="C97" s="76" t="s">
        <v>377</v>
      </c>
      <c r="D97" s="281"/>
      <c r="E97" s="281"/>
      <c r="F97" s="281"/>
      <c r="G97" s="281"/>
      <c r="H97" s="281"/>
      <c r="I97" s="281"/>
      <c r="J97" s="281"/>
      <c r="K97" s="281"/>
      <c r="L97" s="280"/>
      <c r="M97" s="281"/>
      <c r="N97" s="281"/>
      <c r="O97" s="281"/>
      <c r="P97" s="281"/>
      <c r="Q97" s="281"/>
      <c r="R97" s="281"/>
      <c r="S97" s="281"/>
      <c r="T97" s="281"/>
      <c r="U97" s="281"/>
      <c r="V97" s="281"/>
    </row>
    <row r="98" spans="2:22" x14ac:dyDescent="0.3">
      <c r="B98" s="74" t="s">
        <v>252</v>
      </c>
      <c r="D98" s="285" t="s">
        <v>332</v>
      </c>
      <c r="E98" s="285" t="s">
        <v>332</v>
      </c>
      <c r="F98" s="285" t="s">
        <v>334</v>
      </c>
      <c r="G98" s="285" t="s">
        <v>334</v>
      </c>
      <c r="H98" s="285" t="s">
        <v>338</v>
      </c>
      <c r="I98" s="285" t="s">
        <v>338</v>
      </c>
      <c r="J98" s="285" t="s">
        <v>333</v>
      </c>
      <c r="K98" s="285" t="s">
        <v>334</v>
      </c>
      <c r="L98" s="285" t="s">
        <v>332</v>
      </c>
      <c r="M98" s="285" t="s">
        <v>338</v>
      </c>
      <c r="N98" s="283" t="s">
        <v>336</v>
      </c>
      <c r="O98" s="285" t="s">
        <v>334</v>
      </c>
      <c r="P98" s="285" t="s">
        <v>334</v>
      </c>
      <c r="Q98" s="283" t="s">
        <v>342</v>
      </c>
      <c r="R98" s="283" t="s">
        <v>330</v>
      </c>
      <c r="S98" s="283" t="s">
        <v>339</v>
      </c>
      <c r="T98" s="283" t="s">
        <v>342</v>
      </c>
      <c r="U98" s="283" t="s">
        <v>342</v>
      </c>
      <c r="V98" s="283" t="s">
        <v>420</v>
      </c>
    </row>
    <row r="99" spans="2:22" x14ac:dyDescent="0.3">
      <c r="C99" s="276" t="s">
        <v>346</v>
      </c>
      <c r="D99" s="286"/>
      <c r="E99" s="286"/>
      <c r="F99" s="286"/>
      <c r="G99" s="286"/>
      <c r="H99" s="286"/>
      <c r="I99" s="286"/>
      <c r="J99" s="286"/>
      <c r="K99" s="286"/>
      <c r="L99" s="286"/>
      <c r="M99" s="286"/>
      <c r="N99" s="284"/>
      <c r="O99" s="286"/>
      <c r="P99" s="286"/>
      <c r="Q99" s="284"/>
      <c r="R99" s="284"/>
      <c r="S99" s="284"/>
      <c r="T99" s="284"/>
      <c r="U99" s="284"/>
      <c r="V99" s="284"/>
    </row>
    <row r="100" spans="2:22" x14ac:dyDescent="0.3">
      <c r="B100" s="270"/>
      <c r="C100" s="76" t="s">
        <v>253</v>
      </c>
      <c r="D100" s="278"/>
      <c r="E100" s="266"/>
      <c r="F100" s="266"/>
      <c r="G100" s="267"/>
      <c r="H100" s="267"/>
      <c r="I100" s="268"/>
      <c r="J100" s="268"/>
      <c r="K100" s="267"/>
      <c r="L100" s="268"/>
      <c r="M100" s="268"/>
      <c r="N100" s="267"/>
      <c r="O100" s="267"/>
      <c r="P100" s="267"/>
      <c r="Q100" s="266"/>
      <c r="R100" s="266"/>
      <c r="S100" s="266"/>
      <c r="T100" s="266"/>
      <c r="U100" s="266"/>
      <c r="V100" s="266"/>
    </row>
    <row r="101" spans="2:22" x14ac:dyDescent="0.3">
      <c r="B101" s="270"/>
      <c r="C101" s="76" t="s">
        <v>254</v>
      </c>
      <c r="D101" s="267"/>
      <c r="E101" s="267"/>
      <c r="F101" s="266"/>
      <c r="G101" s="268"/>
      <c r="H101" s="268"/>
      <c r="I101" s="268"/>
      <c r="J101" s="268"/>
      <c r="K101" s="268"/>
      <c r="L101" s="268"/>
      <c r="M101" s="268"/>
      <c r="N101" s="267"/>
      <c r="O101" s="267"/>
      <c r="P101" s="268"/>
      <c r="Q101" s="266"/>
      <c r="R101" s="266"/>
      <c r="S101" s="266"/>
      <c r="T101" s="266"/>
      <c r="U101" s="266"/>
      <c r="V101" s="266"/>
    </row>
    <row r="102" spans="2:22" x14ac:dyDescent="0.3">
      <c r="B102" s="270"/>
      <c r="C102" s="76" t="s">
        <v>255</v>
      </c>
      <c r="D102" s="267"/>
      <c r="E102" s="267"/>
      <c r="F102" s="266"/>
      <c r="G102" s="268"/>
      <c r="H102" s="267"/>
      <c r="I102" s="268"/>
      <c r="J102" s="268"/>
      <c r="K102" s="268"/>
      <c r="L102" s="267"/>
      <c r="M102" s="268"/>
      <c r="N102" s="267"/>
      <c r="O102" s="268"/>
      <c r="P102" s="268"/>
      <c r="Q102" s="266"/>
      <c r="R102" s="266"/>
      <c r="S102" s="266"/>
      <c r="T102" s="266"/>
      <c r="U102" s="266"/>
      <c r="V102" s="266"/>
    </row>
    <row r="103" spans="2:22" x14ac:dyDescent="0.3">
      <c r="B103" s="270"/>
      <c r="C103" s="76" t="s">
        <v>256</v>
      </c>
      <c r="D103" s="278"/>
      <c r="E103" s="267"/>
      <c r="F103" s="266"/>
      <c r="G103" s="268"/>
      <c r="H103" s="268"/>
      <c r="I103" s="268"/>
      <c r="J103" s="268"/>
      <c r="K103" s="268"/>
      <c r="L103" s="268"/>
      <c r="M103" s="268"/>
      <c r="N103" s="267"/>
      <c r="O103" s="268"/>
      <c r="P103" s="268"/>
      <c r="Q103" s="266"/>
      <c r="R103" s="266"/>
      <c r="S103" s="266"/>
      <c r="T103" s="266"/>
      <c r="U103" s="266"/>
      <c r="V103" s="266"/>
    </row>
    <row r="104" spans="2:22" x14ac:dyDescent="0.3">
      <c r="B104" s="270"/>
      <c r="C104" s="76" t="s">
        <v>257</v>
      </c>
      <c r="D104" s="267"/>
      <c r="E104" s="266"/>
      <c r="F104" s="266"/>
      <c r="G104" s="268"/>
      <c r="H104" s="268"/>
      <c r="I104" s="268"/>
      <c r="J104" s="268"/>
      <c r="K104" s="268"/>
      <c r="L104" s="268"/>
      <c r="M104" s="268"/>
      <c r="N104" s="267"/>
      <c r="O104" s="268"/>
      <c r="P104" s="268"/>
      <c r="Q104" s="266"/>
      <c r="R104" s="266"/>
      <c r="S104" s="266"/>
      <c r="T104" s="266"/>
      <c r="U104" s="266"/>
      <c r="V104" s="266"/>
    </row>
    <row r="105" spans="2:22" x14ac:dyDescent="0.3">
      <c r="B105" s="270"/>
      <c r="C105" s="76" t="s">
        <v>258</v>
      </c>
      <c r="D105" s="267"/>
      <c r="E105" s="267"/>
      <c r="F105" s="267"/>
      <c r="G105" s="267"/>
      <c r="H105" s="268"/>
      <c r="I105" s="268"/>
      <c r="J105" s="268"/>
      <c r="K105" s="267"/>
      <c r="L105" s="268"/>
      <c r="M105" s="268"/>
      <c r="N105" s="267"/>
      <c r="O105" s="267"/>
      <c r="P105" s="267"/>
      <c r="Q105" s="266"/>
      <c r="R105" s="266"/>
      <c r="S105" s="266"/>
      <c r="T105" s="266"/>
      <c r="U105" s="266"/>
      <c r="V105" s="266"/>
    </row>
    <row r="106" spans="2:22" x14ac:dyDescent="0.3">
      <c r="B106" s="270"/>
      <c r="C106" s="76" t="s">
        <v>347</v>
      </c>
      <c r="D106" s="278"/>
      <c r="E106" s="267"/>
      <c r="F106" s="268"/>
      <c r="G106" s="268"/>
      <c r="H106" s="268"/>
      <c r="I106" s="268"/>
      <c r="J106" s="268"/>
      <c r="K106" s="268"/>
      <c r="L106" s="268"/>
      <c r="M106" s="268"/>
      <c r="N106" s="268"/>
      <c r="O106" s="268"/>
      <c r="P106" s="268"/>
      <c r="Q106" s="267"/>
      <c r="R106" s="267"/>
      <c r="S106" s="267"/>
      <c r="T106" s="266"/>
      <c r="U106" s="266"/>
      <c r="V106" s="266"/>
    </row>
    <row r="107" spans="2:22" x14ac:dyDescent="0.3">
      <c r="B107" s="270"/>
      <c r="C107" s="76" t="s">
        <v>259</v>
      </c>
      <c r="D107" s="267"/>
      <c r="E107" s="267"/>
      <c r="F107" s="267"/>
      <c r="G107" s="268"/>
      <c r="H107" s="268"/>
      <c r="I107" s="268"/>
      <c r="J107" s="268"/>
      <c r="K107" s="268"/>
      <c r="L107" s="268"/>
      <c r="M107" s="268"/>
      <c r="N107" s="267"/>
      <c r="O107" s="268"/>
      <c r="P107" s="268"/>
      <c r="Q107" s="267"/>
      <c r="R107" s="267"/>
      <c r="S107" s="267"/>
      <c r="T107" s="266"/>
      <c r="U107" s="266"/>
      <c r="V107" s="266"/>
    </row>
    <row r="108" spans="2:22" x14ac:dyDescent="0.3">
      <c r="B108" s="270"/>
      <c r="C108" s="76" t="s">
        <v>260</v>
      </c>
      <c r="D108" s="278"/>
      <c r="E108" s="266"/>
      <c r="F108" s="266"/>
      <c r="G108" s="268"/>
      <c r="H108" s="268"/>
      <c r="I108" s="267"/>
      <c r="J108" s="267"/>
      <c r="K108" s="268"/>
      <c r="L108" s="268"/>
      <c r="M108" s="268"/>
      <c r="N108" s="268"/>
      <c r="O108" s="268"/>
      <c r="P108" s="268"/>
      <c r="Q108" s="266"/>
      <c r="R108" s="266"/>
      <c r="S108" s="266"/>
      <c r="T108" s="266"/>
      <c r="U108" s="266"/>
      <c r="V108" s="266"/>
    </row>
    <row r="109" spans="2:22" s="76" customFormat="1" x14ac:dyDescent="0.3">
      <c r="B109" s="270"/>
      <c r="C109" s="76" t="s">
        <v>355</v>
      </c>
      <c r="D109" s="278"/>
      <c r="E109" s="268"/>
      <c r="F109" s="268"/>
      <c r="G109" s="268"/>
      <c r="H109" s="268"/>
      <c r="I109" s="268"/>
      <c r="J109" s="268"/>
      <c r="K109" s="268"/>
      <c r="L109" s="268"/>
      <c r="M109" s="267"/>
      <c r="N109" s="267"/>
      <c r="O109" s="268"/>
      <c r="P109" s="268"/>
      <c r="Q109" s="268"/>
      <c r="R109" s="268"/>
      <c r="S109" s="268"/>
      <c r="T109" s="268"/>
      <c r="U109" s="268"/>
      <c r="V109" s="268"/>
    </row>
    <row r="110" spans="2:22" x14ac:dyDescent="0.3">
      <c r="B110" s="270"/>
      <c r="C110" s="76" t="s">
        <v>261</v>
      </c>
      <c r="D110" s="266"/>
      <c r="E110" s="266"/>
      <c r="F110" s="266"/>
      <c r="G110" s="268"/>
      <c r="H110" s="267"/>
      <c r="I110" s="267"/>
      <c r="J110" s="267"/>
      <c r="K110" s="268"/>
      <c r="L110" s="267"/>
      <c r="M110" s="268"/>
      <c r="N110" s="267"/>
      <c r="O110" s="268"/>
      <c r="P110" s="268"/>
      <c r="Q110" s="266"/>
      <c r="R110" s="266"/>
      <c r="S110" s="266"/>
      <c r="T110" s="266"/>
      <c r="U110" s="266"/>
      <c r="V110" s="266"/>
    </row>
    <row r="111" spans="2:22" x14ac:dyDescent="0.3">
      <c r="B111" s="270"/>
      <c r="C111" s="76" t="s">
        <v>262</v>
      </c>
      <c r="D111" s="266"/>
      <c r="E111" s="266"/>
      <c r="F111" s="266"/>
      <c r="G111" s="268"/>
      <c r="H111" s="268"/>
      <c r="I111" s="267"/>
      <c r="J111" s="267"/>
      <c r="K111" s="268"/>
      <c r="L111" s="268"/>
      <c r="M111" s="268"/>
      <c r="N111" s="267"/>
      <c r="O111" s="267"/>
      <c r="P111" s="268"/>
      <c r="Q111" s="267"/>
      <c r="R111" s="267"/>
      <c r="S111" s="267"/>
      <c r="T111" s="267"/>
      <c r="U111" s="267"/>
      <c r="V111" s="268"/>
    </row>
    <row r="112" spans="2:22" x14ac:dyDescent="0.3">
      <c r="B112" s="270"/>
      <c r="C112" s="76" t="s">
        <v>348</v>
      </c>
      <c r="D112" s="266"/>
      <c r="E112" s="266"/>
      <c r="F112" s="266"/>
      <c r="G112" s="268"/>
      <c r="H112" s="268"/>
      <c r="I112" s="267"/>
      <c r="J112" s="268"/>
      <c r="K112" s="268"/>
      <c r="L112" s="268"/>
      <c r="M112" s="268"/>
      <c r="N112" s="268"/>
      <c r="O112" s="267"/>
      <c r="P112" s="268"/>
      <c r="Q112" s="267"/>
      <c r="R112" s="267"/>
      <c r="S112" s="374"/>
      <c r="T112" s="267"/>
      <c r="U112" s="267"/>
      <c r="V112" s="268"/>
    </row>
    <row r="113" spans="2:22" x14ac:dyDescent="0.3">
      <c r="B113" s="270"/>
      <c r="C113" s="76" t="s">
        <v>263</v>
      </c>
      <c r="D113" s="267"/>
      <c r="E113" s="266"/>
      <c r="F113" s="267"/>
      <c r="G113" s="268"/>
      <c r="H113" s="268"/>
      <c r="I113" s="268"/>
      <c r="J113" s="268"/>
      <c r="K113" s="268"/>
      <c r="L113" s="268"/>
      <c r="M113" s="268"/>
      <c r="N113" s="267"/>
      <c r="O113" s="267"/>
      <c r="P113" s="268"/>
      <c r="Q113" s="266"/>
      <c r="R113" s="266"/>
      <c r="S113" s="375"/>
      <c r="T113" s="266"/>
      <c r="U113" s="266"/>
      <c r="V113" s="266"/>
    </row>
    <row r="114" spans="2:22" x14ac:dyDescent="0.3">
      <c r="B114" s="270"/>
      <c r="C114" s="76" t="s">
        <v>264</v>
      </c>
      <c r="D114" s="266"/>
      <c r="E114" s="266"/>
      <c r="G114" s="268"/>
      <c r="H114" s="268"/>
      <c r="I114" s="268"/>
      <c r="J114" s="268"/>
      <c r="K114" s="268"/>
      <c r="L114" s="268"/>
      <c r="M114" s="268"/>
      <c r="N114" s="268"/>
      <c r="O114" s="268"/>
      <c r="P114" s="268"/>
      <c r="Q114" s="267"/>
      <c r="R114" s="267"/>
      <c r="S114" s="374"/>
      <c r="T114" s="266"/>
      <c r="U114" s="266"/>
      <c r="V114" s="266"/>
    </row>
    <row r="115" spans="2:22" x14ac:dyDescent="0.3">
      <c r="B115" s="270"/>
      <c r="C115" s="76" t="s">
        <v>265</v>
      </c>
      <c r="D115" s="267"/>
      <c r="E115" s="266"/>
      <c r="F115" s="267"/>
      <c r="G115" s="268"/>
      <c r="H115" s="268"/>
      <c r="I115" s="268"/>
      <c r="J115" s="268"/>
      <c r="K115" s="268"/>
      <c r="L115" s="268"/>
      <c r="M115" s="268"/>
      <c r="N115" s="267"/>
      <c r="O115" s="268"/>
      <c r="P115" s="268"/>
      <c r="Q115" s="266"/>
      <c r="R115" s="266"/>
      <c r="S115" s="375"/>
      <c r="T115" s="266"/>
      <c r="U115" s="266"/>
      <c r="V115" s="266"/>
    </row>
    <row r="116" spans="2:22" x14ac:dyDescent="0.3">
      <c r="B116" s="270"/>
      <c r="C116" s="76" t="s">
        <v>266</v>
      </c>
      <c r="D116" s="267"/>
      <c r="E116" s="266"/>
      <c r="F116" s="267"/>
      <c r="G116" s="268"/>
      <c r="H116" s="267"/>
      <c r="I116" s="268"/>
      <c r="J116" s="268"/>
      <c r="K116" s="268"/>
      <c r="L116" s="267"/>
      <c r="M116" s="268"/>
      <c r="N116" s="268"/>
      <c r="O116" s="268"/>
      <c r="P116" s="268"/>
      <c r="Q116" s="267"/>
      <c r="R116" s="267"/>
      <c r="S116" s="374"/>
      <c r="T116" s="267"/>
      <c r="U116" s="267"/>
      <c r="V116" s="267"/>
    </row>
    <row r="117" spans="2:22" x14ac:dyDescent="0.3">
      <c r="B117" s="270"/>
      <c r="C117" s="76" t="s">
        <v>267</v>
      </c>
      <c r="D117" s="267"/>
      <c r="E117" s="267"/>
      <c r="F117" s="267"/>
      <c r="G117" s="268"/>
      <c r="H117" s="267"/>
      <c r="I117" s="268"/>
      <c r="J117" s="268"/>
      <c r="K117" s="268"/>
      <c r="L117" s="267"/>
      <c r="M117" s="268"/>
      <c r="N117" s="268"/>
      <c r="O117" s="268"/>
      <c r="P117" s="268"/>
      <c r="Q117" s="267"/>
      <c r="R117" s="267"/>
      <c r="S117" s="267"/>
      <c r="T117" s="267"/>
      <c r="U117" s="267"/>
      <c r="V117" s="267"/>
    </row>
    <row r="118" spans="2:22" x14ac:dyDescent="0.3">
      <c r="B118" s="270"/>
      <c r="C118" s="76" t="s">
        <v>268</v>
      </c>
      <c r="D118" s="267"/>
      <c r="E118" s="267"/>
      <c r="F118" s="267"/>
      <c r="G118" s="267"/>
      <c r="H118" s="267"/>
      <c r="I118" s="268"/>
      <c r="J118" s="268"/>
      <c r="K118" s="267"/>
      <c r="L118" s="267"/>
      <c r="M118" s="268"/>
      <c r="N118" s="267"/>
      <c r="O118" s="267"/>
      <c r="P118" s="268"/>
      <c r="Q118" s="267"/>
      <c r="R118" s="267"/>
      <c r="S118" s="267"/>
      <c r="T118" s="267"/>
      <c r="U118" s="267"/>
      <c r="V118" s="267"/>
    </row>
    <row r="119" spans="2:22" x14ac:dyDescent="0.3">
      <c r="B119" s="75"/>
      <c r="C119" s="76" t="s">
        <v>269</v>
      </c>
      <c r="D119" s="267"/>
      <c r="E119" s="266"/>
      <c r="F119" s="268"/>
      <c r="G119" s="267"/>
      <c r="H119" s="267"/>
      <c r="I119" s="267"/>
      <c r="J119" s="268"/>
      <c r="K119" s="267"/>
      <c r="L119" s="267"/>
      <c r="M119" s="268"/>
      <c r="N119" s="268"/>
      <c r="O119" s="267"/>
      <c r="P119" s="267"/>
      <c r="Q119" s="267"/>
      <c r="R119" s="267"/>
      <c r="S119" s="267"/>
      <c r="T119" s="268"/>
      <c r="V119" s="267"/>
    </row>
    <row r="120" spans="2:22" x14ac:dyDescent="0.3">
      <c r="C120" s="75" t="s">
        <v>421</v>
      </c>
      <c r="D120" s="266"/>
      <c r="E120" s="266"/>
      <c r="F120" s="266"/>
      <c r="G120" s="266"/>
      <c r="H120" s="268"/>
      <c r="I120" s="268"/>
      <c r="J120" s="268"/>
      <c r="K120" s="268"/>
      <c r="L120" s="268"/>
      <c r="M120" s="268"/>
      <c r="N120" s="268"/>
      <c r="O120" s="268"/>
      <c r="P120" s="268"/>
      <c r="Q120" s="266"/>
      <c r="R120" s="266"/>
      <c r="S120" s="266"/>
      <c r="T120" s="266"/>
      <c r="U120" s="266"/>
      <c r="V120" s="267"/>
    </row>
    <row r="121" spans="2:22" x14ac:dyDescent="0.3">
      <c r="C121" s="75" t="s">
        <v>422</v>
      </c>
      <c r="D121" s="266"/>
      <c r="E121" s="266"/>
      <c r="F121" s="266"/>
      <c r="G121" s="266"/>
      <c r="H121" s="266"/>
      <c r="I121" s="266"/>
      <c r="J121" s="266"/>
      <c r="K121" s="266"/>
      <c r="L121" s="266"/>
      <c r="M121" s="266"/>
      <c r="N121" s="266"/>
      <c r="O121" s="266"/>
      <c r="P121" s="266"/>
      <c r="Q121" s="266"/>
      <c r="R121" s="266"/>
      <c r="S121" s="266"/>
      <c r="T121" s="267"/>
      <c r="U121" s="267"/>
      <c r="V121" s="266"/>
    </row>
  </sheetData>
  <mergeCells count="61">
    <mergeCell ref="U98:U99"/>
    <mergeCell ref="V98:V99"/>
    <mergeCell ref="P98:P99"/>
    <mergeCell ref="Q98:Q99"/>
    <mergeCell ref="R98:R99"/>
    <mergeCell ref="S98:S99"/>
    <mergeCell ref="T98:T99"/>
    <mergeCell ref="S49:S50"/>
    <mergeCell ref="T49:T50"/>
    <mergeCell ref="U49:U50"/>
    <mergeCell ref="V49:V50"/>
    <mergeCell ref="D98:D99"/>
    <mergeCell ref="E98:E99"/>
    <mergeCell ref="F98:F99"/>
    <mergeCell ref="G98:G99"/>
    <mergeCell ref="H98:H99"/>
    <mergeCell ref="I98:I99"/>
    <mergeCell ref="J98:J99"/>
    <mergeCell ref="K98:K99"/>
    <mergeCell ref="L98:L99"/>
    <mergeCell ref="M98:M99"/>
    <mergeCell ref="N98:N99"/>
    <mergeCell ref="O98:O99"/>
    <mergeCell ref="N49:N50"/>
    <mergeCell ref="O49:O50"/>
    <mergeCell ref="P49:P50"/>
    <mergeCell ref="Q49:Q50"/>
    <mergeCell ref="R49:R50"/>
    <mergeCell ref="I49:I50"/>
    <mergeCell ref="J49:J50"/>
    <mergeCell ref="K49:K50"/>
    <mergeCell ref="L49:L50"/>
    <mergeCell ref="M49:M50"/>
    <mergeCell ref="D49:D50"/>
    <mergeCell ref="E49:E50"/>
    <mergeCell ref="F49:F50"/>
    <mergeCell ref="G49:G50"/>
    <mergeCell ref="H49:H50"/>
    <mergeCell ref="D4:D5"/>
    <mergeCell ref="E4:E5"/>
    <mergeCell ref="F4:F5"/>
    <mergeCell ref="G4:G5"/>
    <mergeCell ref="H4:H5"/>
    <mergeCell ref="R2:T2"/>
    <mergeCell ref="P4:P5"/>
    <mergeCell ref="Q4:Q5"/>
    <mergeCell ref="R4:R5"/>
    <mergeCell ref="I4:I5"/>
    <mergeCell ref="J4:J5"/>
    <mergeCell ref="K4:K5"/>
    <mergeCell ref="L4:L5"/>
    <mergeCell ref="M4:M5"/>
    <mergeCell ref="N4:N5"/>
    <mergeCell ref="O4:O5"/>
    <mergeCell ref="E2:N2"/>
    <mergeCell ref="O2:Q2"/>
    <mergeCell ref="S4:S5"/>
    <mergeCell ref="T4:T5"/>
    <mergeCell ref="U4:U5"/>
    <mergeCell ref="U2:W2"/>
    <mergeCell ref="V4:V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pane ySplit="1" topLeftCell="A11" activePane="bottomLeft" state="frozen"/>
      <selection pane="bottomLeft" activeCell="B11" sqref="B11"/>
    </sheetView>
  </sheetViews>
  <sheetFormatPr defaultRowHeight="45.75" customHeight="1" x14ac:dyDescent="0.25"/>
  <cols>
    <col min="2" max="4" width="55.75" customWidth="1"/>
  </cols>
  <sheetData>
    <row r="1" spans="2:4" ht="45.75" customHeight="1" x14ac:dyDescent="0.25">
      <c r="B1" s="271" t="s">
        <v>270</v>
      </c>
      <c r="C1" s="272" t="s">
        <v>271</v>
      </c>
      <c r="D1" s="272" t="s">
        <v>272</v>
      </c>
    </row>
    <row r="2" spans="2:4" ht="45.75" customHeight="1" x14ac:dyDescent="0.25">
      <c r="B2" s="273" t="s">
        <v>273</v>
      </c>
      <c r="C2" s="273" t="s">
        <v>274</v>
      </c>
      <c r="D2" s="273" t="s">
        <v>275</v>
      </c>
    </row>
    <row r="3" spans="2:4" ht="45.75" customHeight="1" x14ac:dyDescent="0.25">
      <c r="B3" s="274" t="s">
        <v>163</v>
      </c>
      <c r="C3" s="273" t="s">
        <v>276</v>
      </c>
      <c r="D3" s="273" t="s">
        <v>277</v>
      </c>
    </row>
    <row r="4" spans="2:4" ht="45.75" customHeight="1" x14ac:dyDescent="0.25">
      <c r="B4" s="274" t="s">
        <v>164</v>
      </c>
      <c r="C4" s="273" t="s">
        <v>278</v>
      </c>
      <c r="D4" s="273" t="s">
        <v>279</v>
      </c>
    </row>
    <row r="5" spans="2:4" ht="45.75" customHeight="1" x14ac:dyDescent="0.25">
      <c r="B5" s="274" t="s">
        <v>152</v>
      </c>
      <c r="C5" s="273" t="s">
        <v>280</v>
      </c>
      <c r="D5" s="273" t="s">
        <v>281</v>
      </c>
    </row>
    <row r="6" spans="2:4" ht="45.75" customHeight="1" x14ac:dyDescent="0.25">
      <c r="B6" s="274" t="s">
        <v>98</v>
      </c>
      <c r="C6" s="273" t="s">
        <v>282</v>
      </c>
      <c r="D6" s="273" t="s">
        <v>283</v>
      </c>
    </row>
    <row r="7" spans="2:4" ht="45.75" customHeight="1" x14ac:dyDescent="0.25">
      <c r="B7" s="274" t="s">
        <v>159</v>
      </c>
      <c r="C7" s="273" t="s">
        <v>284</v>
      </c>
      <c r="D7" s="273" t="s">
        <v>285</v>
      </c>
    </row>
    <row r="8" spans="2:4" ht="45.75" customHeight="1" x14ac:dyDescent="0.25">
      <c r="B8" s="274" t="s">
        <v>195</v>
      </c>
      <c r="C8" s="273" t="s">
        <v>286</v>
      </c>
      <c r="D8" s="273" t="s">
        <v>287</v>
      </c>
    </row>
    <row r="9" spans="2:4" ht="45.75" customHeight="1" x14ac:dyDescent="0.25">
      <c r="B9" s="274" t="s">
        <v>160</v>
      </c>
      <c r="C9" s="273" t="s">
        <v>288</v>
      </c>
      <c r="D9" s="273" t="s">
        <v>289</v>
      </c>
    </row>
    <row r="10" spans="2:4" ht="45.75" customHeight="1" x14ac:dyDescent="0.25">
      <c r="B10" s="274" t="s">
        <v>136</v>
      </c>
      <c r="C10" s="273" t="s">
        <v>290</v>
      </c>
      <c r="D10" s="273" t="s">
        <v>291</v>
      </c>
    </row>
    <row r="11" spans="2:4" ht="45.75" customHeight="1" x14ac:dyDescent="0.25">
      <c r="B11" s="274" t="s">
        <v>292</v>
      </c>
      <c r="C11" s="273" t="s">
        <v>293</v>
      </c>
      <c r="D11" s="273" t="s">
        <v>294</v>
      </c>
    </row>
    <row r="12" spans="2:4" ht="45.75" customHeight="1" x14ac:dyDescent="0.25">
      <c r="B12" s="273" t="s">
        <v>295</v>
      </c>
      <c r="C12" s="273" t="s">
        <v>296</v>
      </c>
      <c r="D12" s="273" t="s">
        <v>297</v>
      </c>
    </row>
    <row r="13" spans="2:4" ht="45.75" customHeight="1" x14ac:dyDescent="0.25">
      <c r="B13" s="273" t="s">
        <v>298</v>
      </c>
      <c r="C13" s="273" t="s">
        <v>299</v>
      </c>
      <c r="D13" s="273" t="s">
        <v>300</v>
      </c>
    </row>
    <row r="14" spans="2:4" ht="45.75" customHeight="1" x14ac:dyDescent="0.25">
      <c r="B14" s="273" t="s">
        <v>349</v>
      </c>
      <c r="C14" s="273" t="s">
        <v>301</v>
      </c>
      <c r="D14" s="273" t="s">
        <v>302</v>
      </c>
    </row>
    <row r="15" spans="2:4" ht="45.75" customHeight="1" x14ac:dyDescent="0.25">
      <c r="B15" s="273" t="s">
        <v>303</v>
      </c>
      <c r="C15" s="273" t="s">
        <v>304</v>
      </c>
      <c r="D15" s="273" t="s">
        <v>305</v>
      </c>
    </row>
    <row r="16" spans="2:4" ht="45.75" customHeight="1" x14ac:dyDescent="0.25">
      <c r="B16" s="273" t="s">
        <v>306</v>
      </c>
      <c r="C16" s="273" t="s">
        <v>307</v>
      </c>
      <c r="D16" s="273" t="s">
        <v>308</v>
      </c>
    </row>
    <row r="17" spans="2:4" ht="45.75" customHeight="1" x14ac:dyDescent="0.25">
      <c r="B17" s="273" t="s">
        <v>157</v>
      </c>
      <c r="C17" s="273" t="s">
        <v>309</v>
      </c>
      <c r="D17" s="273" t="s">
        <v>310</v>
      </c>
    </row>
    <row r="18" spans="2:4" ht="45.75" customHeight="1" x14ac:dyDescent="0.25">
      <c r="B18" s="273" t="s">
        <v>89</v>
      </c>
      <c r="C18" s="273" t="s">
        <v>311</v>
      </c>
      <c r="D18" s="273" t="s">
        <v>312</v>
      </c>
    </row>
    <row r="19" spans="2:4" ht="45.75" customHeight="1" x14ac:dyDescent="0.25">
      <c r="B19" s="273" t="s">
        <v>114</v>
      </c>
      <c r="C19" s="273" t="s">
        <v>313</v>
      </c>
      <c r="D19" s="273" t="s">
        <v>314</v>
      </c>
    </row>
    <row r="20" spans="2:4" ht="45.75" customHeight="1" x14ac:dyDescent="0.25">
      <c r="B20" s="273" t="s">
        <v>315</v>
      </c>
      <c r="C20" s="273" t="s">
        <v>316</v>
      </c>
      <c r="D20" s="273" t="s">
        <v>300</v>
      </c>
    </row>
    <row r="21" spans="2:4" ht="45.75" customHeight="1" x14ac:dyDescent="0.25">
      <c r="B21" s="273" t="s">
        <v>317</v>
      </c>
      <c r="C21" s="273" t="s">
        <v>318</v>
      </c>
      <c r="D21" s="273" t="s">
        <v>319</v>
      </c>
    </row>
    <row r="22" spans="2:4" ht="45.75" customHeight="1" x14ac:dyDescent="0.25">
      <c r="B22" s="273" t="s">
        <v>320</v>
      </c>
      <c r="C22" s="273" t="s">
        <v>321</v>
      </c>
      <c r="D22" s="273"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U109"/>
  <sheetViews>
    <sheetView showGridLines="0" tabSelected="1" zoomScale="80" zoomScaleNormal="80" workbookViewId="0">
      <selection activeCell="I20" sqref="I20"/>
    </sheetView>
  </sheetViews>
  <sheetFormatPr defaultColWidth="9.125" defaultRowHeight="14.25" x14ac:dyDescent="0.25"/>
  <cols>
    <col min="1" max="1" width="1.875" style="77" customWidth="1"/>
    <col min="2" max="2" width="31.75" style="77" customWidth="1"/>
    <col min="3" max="3" width="17.125" style="77" customWidth="1"/>
    <col min="4" max="4" width="2.625" style="77" customWidth="1"/>
    <col min="5" max="5" width="0.75" style="77" customWidth="1"/>
    <col min="6" max="6" width="31.375" style="77" customWidth="1"/>
    <col min="7" max="7" width="15.75" style="77" customWidth="1"/>
    <col min="8" max="8" width="5.875" style="77" customWidth="1"/>
    <col min="9" max="9" width="10.625" style="77" customWidth="1"/>
    <col min="10" max="11" width="15.75" style="77" customWidth="1"/>
    <col min="12" max="12" width="5.125" style="77" customWidth="1"/>
    <col min="13" max="13" width="5.375" style="78" customWidth="1"/>
    <col min="14" max="14" width="4.75" style="77" customWidth="1"/>
    <col min="15" max="15" width="12.125" style="77" customWidth="1"/>
    <col min="16" max="19" width="14.75" style="77" customWidth="1"/>
    <col min="20" max="20" width="13.25" style="77" customWidth="1"/>
    <col min="21" max="21" width="12.125" style="77" customWidth="1"/>
    <col min="22" max="16384" width="9.125" style="77"/>
  </cols>
  <sheetData>
    <row r="1" spans="2:13" ht="6" customHeight="1" x14ac:dyDescent="0.25"/>
    <row r="2" spans="2:13" ht="17.25" customHeight="1" x14ac:dyDescent="0.25">
      <c r="B2" s="326" t="s">
        <v>198</v>
      </c>
      <c r="C2" s="326"/>
      <c r="D2" s="196"/>
      <c r="F2" s="307" t="s">
        <v>360</v>
      </c>
      <c r="G2" s="301">
        <v>65</v>
      </c>
      <c r="H2" s="195"/>
      <c r="L2" s="214"/>
      <c r="M2" s="79"/>
    </row>
    <row r="3" spans="2:13" ht="9.75" customHeight="1" x14ac:dyDescent="0.25">
      <c r="B3" s="326"/>
      <c r="C3" s="326"/>
      <c r="D3" s="196"/>
      <c r="F3" s="308"/>
      <c r="G3" s="302"/>
      <c r="L3" s="214"/>
      <c r="M3" s="85"/>
    </row>
    <row r="4" spans="2:13" ht="17.25" customHeight="1" x14ac:dyDescent="0.25">
      <c r="B4" s="326"/>
      <c r="C4" s="326"/>
      <c r="D4" s="196"/>
      <c r="F4" s="309"/>
      <c r="G4" s="303"/>
      <c r="H4" s="81"/>
      <c r="L4" s="214"/>
      <c r="M4" s="85"/>
    </row>
    <row r="5" spans="2:13" ht="6.75" customHeight="1" x14ac:dyDescent="0.25">
      <c r="B5" s="248"/>
      <c r="C5" s="248"/>
      <c r="D5" s="196"/>
      <c r="H5" s="81"/>
      <c r="L5" s="214"/>
      <c r="M5" s="85"/>
    </row>
    <row r="6" spans="2:13" ht="10.5" customHeight="1" x14ac:dyDescent="0.25">
      <c r="B6" s="210"/>
      <c r="C6" s="210"/>
      <c r="D6" s="196"/>
      <c r="H6" s="81"/>
      <c r="L6" s="214"/>
      <c r="M6" s="85"/>
    </row>
    <row r="7" spans="2:13" ht="6.75" customHeight="1" x14ac:dyDescent="0.25">
      <c r="B7" s="307" t="s">
        <v>356</v>
      </c>
      <c r="C7" s="304">
        <v>20</v>
      </c>
      <c r="D7" s="196"/>
      <c r="H7" s="81"/>
      <c r="L7" s="214"/>
      <c r="M7" s="85"/>
    </row>
    <row r="8" spans="2:13" ht="17.25" customHeight="1" x14ac:dyDescent="0.25">
      <c r="B8" s="308"/>
      <c r="C8" s="305"/>
      <c r="D8" s="196"/>
      <c r="F8" s="324" t="s">
        <v>361</v>
      </c>
      <c r="G8" s="205" t="s">
        <v>24</v>
      </c>
      <c r="H8" s="329" t="s">
        <v>11</v>
      </c>
      <c r="I8" s="329"/>
      <c r="J8" s="253" t="s">
        <v>12</v>
      </c>
      <c r="K8" s="207" t="s">
        <v>13</v>
      </c>
      <c r="M8" s="85"/>
    </row>
    <row r="9" spans="2:13" ht="17.25" customHeight="1" x14ac:dyDescent="0.25">
      <c r="B9" s="309"/>
      <c r="C9" s="306"/>
      <c r="D9" s="196"/>
      <c r="F9" s="325"/>
      <c r="G9" s="229">
        <v>15</v>
      </c>
      <c r="H9" s="331">
        <v>20</v>
      </c>
      <c r="I9" s="331"/>
      <c r="J9" s="252">
        <v>25</v>
      </c>
      <c r="K9" s="230">
        <v>30</v>
      </c>
      <c r="M9" s="85"/>
    </row>
    <row r="10" spans="2:13" ht="6" customHeight="1" x14ac:dyDescent="0.25">
      <c r="B10" s="210"/>
      <c r="C10" s="210"/>
      <c r="D10" s="196"/>
      <c r="F10" s="327" t="s">
        <v>362</v>
      </c>
      <c r="G10" s="329" t="s">
        <v>24</v>
      </c>
      <c r="H10" s="329" t="s">
        <v>11</v>
      </c>
      <c r="I10" s="329"/>
      <c r="J10" s="329" t="s">
        <v>12</v>
      </c>
      <c r="K10" s="332" t="s">
        <v>13</v>
      </c>
      <c r="M10" s="85"/>
    </row>
    <row r="11" spans="2:13" ht="8.25" customHeight="1" x14ac:dyDescent="0.25">
      <c r="B11" s="295" t="s">
        <v>357</v>
      </c>
      <c r="C11" s="323"/>
      <c r="D11" s="94"/>
      <c r="F11" s="308"/>
      <c r="G11" s="330"/>
      <c r="H11" s="330"/>
      <c r="I11" s="330"/>
      <c r="J11" s="330"/>
      <c r="K11" s="333"/>
      <c r="M11" s="85"/>
    </row>
    <row r="12" spans="2:13" ht="15.95" customHeight="1" x14ac:dyDescent="0.25">
      <c r="B12" s="297"/>
      <c r="C12" s="322"/>
      <c r="D12" s="94"/>
      <c r="F12" s="308"/>
      <c r="G12" s="334">
        <f>P29*0.3</f>
        <v>146265</v>
      </c>
      <c r="H12" s="334">
        <f>Q29*0.25</f>
        <v>254952.60416666672</v>
      </c>
      <c r="I12" s="334"/>
      <c r="J12" s="334">
        <f>R29*0.2</f>
        <v>335845.00000000017</v>
      </c>
      <c r="K12" s="315">
        <f>S29*0.15</f>
        <v>369478.43750000006</v>
      </c>
      <c r="L12" s="226"/>
      <c r="M12" s="85"/>
    </row>
    <row r="13" spans="2:13" ht="17.25" customHeight="1" x14ac:dyDescent="0.25">
      <c r="B13" s="80" t="s">
        <v>163</v>
      </c>
      <c r="C13" s="251">
        <v>20000</v>
      </c>
      <c r="F13" s="328"/>
      <c r="G13" s="335"/>
      <c r="H13" s="335"/>
      <c r="I13" s="335"/>
      <c r="J13" s="335"/>
      <c r="K13" s="314"/>
      <c r="L13" s="245"/>
      <c r="M13" s="85"/>
    </row>
    <row r="14" spans="2:13" ht="17.25" customHeight="1" x14ac:dyDescent="0.25">
      <c r="B14" s="80" t="s">
        <v>164</v>
      </c>
      <c r="C14" s="261">
        <v>2500</v>
      </c>
      <c r="D14" s="196"/>
      <c r="F14" s="338" t="s">
        <v>363</v>
      </c>
      <c r="G14" s="205" t="s">
        <v>24</v>
      </c>
      <c r="H14" s="201"/>
      <c r="I14" s="213" t="s">
        <v>11</v>
      </c>
      <c r="J14" s="253" t="s">
        <v>12</v>
      </c>
      <c r="K14" s="207" t="s">
        <v>13</v>
      </c>
      <c r="L14" s="226"/>
      <c r="M14" s="85"/>
    </row>
    <row r="15" spans="2:13" ht="17.25" customHeight="1" x14ac:dyDescent="0.25">
      <c r="B15" s="80" t="s">
        <v>98</v>
      </c>
      <c r="C15" s="194">
        <v>3.5</v>
      </c>
      <c r="D15" s="196"/>
      <c r="F15" s="339"/>
      <c r="G15" s="341">
        <v>50000</v>
      </c>
      <c r="H15" s="343">
        <v>50000</v>
      </c>
      <c r="I15" s="343"/>
      <c r="J15" s="343">
        <v>50000</v>
      </c>
      <c r="K15" s="336">
        <v>50000</v>
      </c>
      <c r="L15" s="246"/>
      <c r="M15" s="85"/>
    </row>
    <row r="16" spans="2:13" ht="17.25" customHeight="1" x14ac:dyDescent="0.25">
      <c r="B16" s="93" t="s">
        <v>159</v>
      </c>
      <c r="C16" s="254">
        <v>55</v>
      </c>
      <c r="D16" s="196"/>
      <c r="F16" s="340"/>
      <c r="G16" s="342"/>
      <c r="H16" s="344"/>
      <c r="I16" s="344"/>
      <c r="J16" s="344"/>
      <c r="K16" s="337"/>
      <c r="L16" s="246"/>
      <c r="M16" s="85"/>
    </row>
    <row r="17" spans="2:19" ht="17.25" customHeight="1" x14ac:dyDescent="0.25">
      <c r="D17" s="196"/>
      <c r="L17" s="226"/>
      <c r="M17" s="85"/>
    </row>
    <row r="18" spans="2:19" ht="16.5" customHeight="1" x14ac:dyDescent="0.25">
      <c r="B18" s="295" t="s">
        <v>358</v>
      </c>
      <c r="C18" s="296"/>
      <c r="D18" s="196"/>
      <c r="F18" s="311" t="s">
        <v>364</v>
      </c>
      <c r="G18" s="311"/>
      <c r="I18" s="307" t="s">
        <v>367</v>
      </c>
      <c r="J18" s="310"/>
      <c r="K18" s="316"/>
      <c r="L18" s="247"/>
      <c r="M18" s="85"/>
    </row>
    <row r="19" spans="2:19" ht="17.25" customHeight="1" x14ac:dyDescent="0.25">
      <c r="B19" s="297"/>
      <c r="C19" s="298"/>
      <c r="D19" s="196"/>
      <c r="H19" s="108">
        <f>C58/100</f>
        <v>0.5</v>
      </c>
      <c r="I19" s="308"/>
      <c r="J19" s="311"/>
      <c r="K19" s="317"/>
      <c r="M19" s="85"/>
    </row>
    <row r="20" spans="2:19" ht="17.25" customHeight="1" x14ac:dyDescent="0.25">
      <c r="B20" s="80" t="s">
        <v>195</v>
      </c>
      <c r="C20" s="244">
        <v>0.2</v>
      </c>
      <c r="D20" s="196"/>
      <c r="F20" s="197"/>
      <c r="G20" s="247"/>
      <c r="H20" s="247"/>
      <c r="I20" s="82"/>
      <c r="J20" s="80" t="s">
        <v>173</v>
      </c>
      <c r="K20" s="230">
        <v>5</v>
      </c>
      <c r="L20" s="247"/>
      <c r="M20" s="85"/>
    </row>
    <row r="21" spans="2:19" ht="17.25" customHeight="1" x14ac:dyDescent="0.25">
      <c r="B21" s="80" t="s">
        <v>160</v>
      </c>
      <c r="C21" s="87">
        <v>0.35</v>
      </c>
      <c r="D21" s="196"/>
      <c r="F21" s="322" t="s">
        <v>365</v>
      </c>
      <c r="G21" s="322"/>
      <c r="H21" s="94"/>
      <c r="I21" s="259" t="s">
        <v>174</v>
      </c>
      <c r="J21" s="260"/>
      <c r="K21" s="231">
        <v>1.5</v>
      </c>
      <c r="L21" s="78"/>
      <c r="M21" s="85"/>
    </row>
    <row r="22" spans="2:19" ht="17.25" customHeight="1" x14ac:dyDescent="0.25">
      <c r="B22" s="80" t="s">
        <v>136</v>
      </c>
      <c r="C22" s="87">
        <v>0.45</v>
      </c>
      <c r="D22" s="196"/>
      <c r="H22" s="108">
        <f>C56/100</f>
        <v>0.25</v>
      </c>
      <c r="I22" s="258"/>
      <c r="J22" s="258"/>
      <c r="K22" s="257"/>
      <c r="L22" s="256"/>
      <c r="M22" s="85"/>
    </row>
    <row r="23" spans="2:19" ht="17.25" customHeight="1" x14ac:dyDescent="0.25">
      <c r="B23" s="93" t="s">
        <v>171</v>
      </c>
      <c r="C23" s="92">
        <v>0.65</v>
      </c>
      <c r="D23" s="196"/>
      <c r="I23" s="318" t="s">
        <v>162</v>
      </c>
      <c r="J23" s="319"/>
      <c r="K23" s="299">
        <f>L78</f>
        <v>2769927.3437499995</v>
      </c>
      <c r="M23" s="85"/>
    </row>
    <row r="24" spans="2:19" ht="17.25" customHeight="1" x14ac:dyDescent="0.25">
      <c r="D24" s="196"/>
      <c r="F24" s="295" t="s">
        <v>366</v>
      </c>
      <c r="G24" s="296"/>
      <c r="I24" s="320"/>
      <c r="J24" s="321"/>
      <c r="K24" s="300"/>
      <c r="M24" s="85"/>
    </row>
    <row r="25" spans="2:19" ht="17.25" customHeight="1" x14ac:dyDescent="0.25">
      <c r="B25" s="295" t="s">
        <v>359</v>
      </c>
      <c r="C25" s="296"/>
      <c r="D25" s="196"/>
      <c r="F25" s="297"/>
      <c r="G25" s="298"/>
      <c r="M25" s="77"/>
    </row>
    <row r="26" spans="2:19" ht="16.5" x14ac:dyDescent="0.25">
      <c r="B26" s="297"/>
      <c r="C26" s="298"/>
      <c r="D26" s="196"/>
      <c r="F26" s="93" t="s">
        <v>180</v>
      </c>
      <c r="G26" s="243">
        <v>65000</v>
      </c>
      <c r="M26" s="77"/>
    </row>
    <row r="27" spans="2:19" ht="17.25" customHeight="1" x14ac:dyDescent="0.25">
      <c r="B27" s="80" t="s">
        <v>147</v>
      </c>
      <c r="C27" s="255">
        <v>75000</v>
      </c>
      <c r="D27" s="196"/>
      <c r="L27" s="198"/>
      <c r="M27" s="292" t="s">
        <v>165</v>
      </c>
      <c r="N27" s="293"/>
      <c r="O27" s="293"/>
      <c r="P27" s="293"/>
      <c r="Q27" s="293"/>
      <c r="R27" s="293"/>
      <c r="S27" s="294"/>
    </row>
    <row r="28" spans="2:19" ht="17.25" customHeight="1" x14ac:dyDescent="0.25">
      <c r="B28" s="93" t="s">
        <v>92</v>
      </c>
      <c r="C28" s="243">
        <v>60000</v>
      </c>
      <c r="D28" s="196"/>
      <c r="L28" s="198"/>
      <c r="M28" s="240"/>
      <c r="N28" s="99"/>
      <c r="O28" s="99"/>
      <c r="P28" s="226" t="s">
        <v>24</v>
      </c>
      <c r="Q28" s="226" t="s">
        <v>11</v>
      </c>
      <c r="R28" s="226" t="s">
        <v>12</v>
      </c>
      <c r="S28" s="208" t="s">
        <v>13</v>
      </c>
    </row>
    <row r="29" spans="2:19" ht="17.25" customHeight="1" x14ac:dyDescent="0.25">
      <c r="D29" s="196"/>
      <c r="H29" s="111"/>
      <c r="L29" s="98"/>
      <c r="M29" s="240"/>
      <c r="N29" s="99"/>
      <c r="O29" s="232" t="s">
        <v>153</v>
      </c>
      <c r="P29" s="227">
        <f>'P&amp;L Detail'!G48</f>
        <v>487550</v>
      </c>
      <c r="Q29" s="227">
        <f>'P&amp;L Detail'!I48</f>
        <v>1019810.4166666669</v>
      </c>
      <c r="R29" s="227">
        <f>'P&amp;L Detail'!K48</f>
        <v>1679225.0000000007</v>
      </c>
      <c r="S29" s="112">
        <f>'P&amp;L Detail'!M48</f>
        <v>2463189.583333334</v>
      </c>
    </row>
    <row r="30" spans="2:19" ht="17.25" customHeight="1" x14ac:dyDescent="0.25">
      <c r="D30" s="196"/>
      <c r="L30" s="98"/>
      <c r="M30" s="241"/>
      <c r="N30" s="242"/>
      <c r="O30" s="233" t="s">
        <v>156</v>
      </c>
      <c r="P30" s="228">
        <f>'P&amp;L Detail'!G51</f>
        <v>-38760.625</v>
      </c>
      <c r="Q30" s="228">
        <f>'P&amp;L Detail'!I51</f>
        <v>10208.541666666628</v>
      </c>
      <c r="R30" s="228">
        <f>'P&amp;L Detail'!K51</f>
        <v>123391.875</v>
      </c>
      <c r="S30" s="113">
        <f>'P&amp;L Detail'!M51</f>
        <v>319341.66666666698</v>
      </c>
    </row>
    <row r="31" spans="2:19" ht="17.25" customHeight="1" x14ac:dyDescent="0.25">
      <c r="B31" s="210"/>
      <c r="C31" s="210"/>
      <c r="D31" s="196"/>
      <c r="I31" s="101"/>
      <c r="J31" s="239"/>
      <c r="K31" s="101"/>
      <c r="L31" s="236"/>
      <c r="M31" s="85"/>
    </row>
    <row r="32" spans="2:19" ht="17.25" customHeight="1" x14ac:dyDescent="0.25">
      <c r="D32" s="196"/>
      <c r="I32" s="239"/>
      <c r="J32" s="239"/>
      <c r="K32" s="236"/>
      <c r="L32" s="236"/>
      <c r="M32" s="85"/>
    </row>
    <row r="33" spans="3:16" s="101" customFormat="1" ht="17.25" customHeight="1" x14ac:dyDescent="0.25">
      <c r="D33" s="211"/>
      <c r="E33" s="77"/>
      <c r="H33" s="77"/>
      <c r="L33" s="214"/>
      <c r="M33" s="85"/>
    </row>
    <row r="34" spans="3:16" ht="17.25" customHeight="1" x14ac:dyDescent="0.25">
      <c r="D34" s="78"/>
      <c r="I34" s="237"/>
      <c r="L34" s="237"/>
      <c r="M34" s="89"/>
    </row>
    <row r="35" spans="3:16" ht="17.25" customHeight="1" x14ac:dyDescent="0.25">
      <c r="D35" s="197"/>
      <c r="E35" s="101"/>
      <c r="I35" s="97"/>
      <c r="L35" s="97"/>
      <c r="M35" s="89"/>
    </row>
    <row r="36" spans="3:16" ht="17.25" customHeight="1" x14ac:dyDescent="0.25">
      <c r="D36" s="78"/>
      <c r="E36" s="237" t="s">
        <v>165</v>
      </c>
      <c r="I36" s="238"/>
      <c r="L36" s="238"/>
    </row>
    <row r="37" spans="3:16" ht="17.25" customHeight="1" x14ac:dyDescent="0.25">
      <c r="E37" s="101"/>
      <c r="I37" s="238"/>
      <c r="L37" s="238"/>
      <c r="M37" s="94"/>
      <c r="P37" s="95"/>
    </row>
    <row r="38" spans="3:16" ht="17.25" customHeight="1" x14ac:dyDescent="0.25">
      <c r="D38" s="195"/>
      <c r="E38" s="101"/>
      <c r="I38" s="101"/>
      <c r="P38" s="96"/>
    </row>
    <row r="39" spans="3:16" ht="17.25" customHeight="1" x14ac:dyDescent="0.25">
      <c r="I39" s="101"/>
      <c r="M39" s="97"/>
      <c r="P39" s="95"/>
    </row>
    <row r="40" spans="3:16" ht="17.25" customHeight="1" x14ac:dyDescent="0.25">
      <c r="D40" s="78"/>
      <c r="I40" s="101"/>
      <c r="M40" s="98"/>
      <c r="P40" s="95"/>
    </row>
    <row r="41" spans="3:16" ht="17.25" customHeight="1" x14ac:dyDescent="0.25">
      <c r="D41" s="198"/>
      <c r="I41" s="101"/>
      <c r="P41" s="96"/>
    </row>
    <row r="42" spans="3:16" ht="17.25" customHeight="1" x14ac:dyDescent="0.25">
      <c r="D42" s="78"/>
      <c r="H42" s="99"/>
      <c r="I42" s="197"/>
      <c r="M42" s="203"/>
      <c r="N42" s="99"/>
      <c r="P42" s="96"/>
    </row>
    <row r="43" spans="3:16" ht="17.25" customHeight="1" x14ac:dyDescent="0.25">
      <c r="H43" s="206"/>
      <c r="I43" s="197"/>
      <c r="M43" s="100"/>
    </row>
    <row r="44" spans="3:16" ht="17.25" customHeight="1" x14ac:dyDescent="0.25">
      <c r="D44" s="78"/>
      <c r="E44" s="101"/>
      <c r="M44" s="104"/>
      <c r="O44" s="290"/>
      <c r="P44" s="209"/>
    </row>
    <row r="45" spans="3:16" ht="17.25" customHeight="1" x14ac:dyDescent="0.25">
      <c r="C45" s="199"/>
      <c r="D45" s="199"/>
      <c r="E45" s="101"/>
      <c r="M45" s="203"/>
      <c r="O45" s="290"/>
      <c r="P45" s="95"/>
    </row>
    <row r="46" spans="3:16" ht="17.25" customHeight="1" x14ac:dyDescent="0.25">
      <c r="D46" s="78"/>
      <c r="E46" s="101"/>
      <c r="M46" s="105"/>
      <c r="O46" s="290"/>
      <c r="P46" s="95"/>
    </row>
    <row r="47" spans="3:16" ht="17.25" customHeight="1" x14ac:dyDescent="0.25">
      <c r="D47" s="106"/>
      <c r="E47" s="101"/>
      <c r="O47" s="290"/>
      <c r="P47" s="96"/>
    </row>
    <row r="48" spans="3:16" ht="17.25" customHeight="1" x14ac:dyDescent="0.25">
      <c r="E48" s="101"/>
      <c r="M48" s="107"/>
      <c r="O48" s="290"/>
      <c r="P48" s="96"/>
    </row>
    <row r="49" spans="2:21" ht="17.25" customHeight="1" x14ac:dyDescent="0.25">
      <c r="D49" s="107"/>
      <c r="E49" s="107"/>
      <c r="M49" s="98"/>
    </row>
    <row r="50" spans="2:21" ht="17.25" customHeight="1" x14ac:dyDescent="0.25">
      <c r="D50" s="99"/>
      <c r="E50" s="99"/>
      <c r="M50" s="98"/>
    </row>
    <row r="51" spans="2:21" ht="17.25" customHeight="1" x14ac:dyDescent="0.25">
      <c r="D51" s="99"/>
      <c r="E51" s="99"/>
      <c r="M51" s="109"/>
    </row>
    <row r="52" spans="2:21" ht="17.25" customHeight="1" x14ac:dyDescent="0.25">
      <c r="D52" s="200"/>
      <c r="E52" s="99"/>
    </row>
    <row r="53" spans="2:21" x14ac:dyDescent="0.25">
      <c r="O53" s="115"/>
      <c r="Q53" s="116"/>
      <c r="R53" s="116"/>
    </row>
    <row r="54" spans="2:21" hidden="1" x14ac:dyDescent="0.25">
      <c r="B54" s="291" t="s">
        <v>88</v>
      </c>
      <c r="C54" s="291"/>
      <c r="D54" s="291"/>
      <c r="E54" s="291"/>
    </row>
    <row r="55" spans="2:21" ht="15" hidden="1" customHeight="1" x14ac:dyDescent="0.25">
      <c r="B55" s="115" t="s">
        <v>178</v>
      </c>
      <c r="C55" s="120">
        <v>100</v>
      </c>
      <c r="D55" s="118"/>
    </row>
    <row r="56" spans="2:21" hidden="1" x14ac:dyDescent="0.25">
      <c r="B56" s="83" t="s">
        <v>114</v>
      </c>
      <c r="C56" s="119">
        <v>25</v>
      </c>
      <c r="E56" s="215"/>
    </row>
    <row r="57" spans="2:21" hidden="1" x14ac:dyDescent="0.25">
      <c r="B57" s="83" t="s">
        <v>46</v>
      </c>
      <c r="C57" s="119">
        <v>0</v>
      </c>
      <c r="E57" s="215"/>
      <c r="I57" s="121"/>
    </row>
    <row r="58" spans="2:21" hidden="1" x14ac:dyDescent="0.25">
      <c r="B58" s="212" t="s">
        <v>89</v>
      </c>
      <c r="C58" s="120">
        <v>50</v>
      </c>
      <c r="E58" s="215"/>
    </row>
    <row r="59" spans="2:21" hidden="1" x14ac:dyDescent="0.25">
      <c r="B59" s="212" t="s">
        <v>137</v>
      </c>
      <c r="C59" s="120">
        <v>0</v>
      </c>
      <c r="E59" s="215"/>
    </row>
    <row r="60" spans="2:21" hidden="1" x14ac:dyDescent="0.25">
      <c r="B60" s="212" t="s">
        <v>141</v>
      </c>
      <c r="C60" s="120">
        <v>100</v>
      </c>
      <c r="G60" s="117"/>
      <c r="H60" s="117"/>
      <c r="I60" s="117"/>
      <c r="K60" s="117"/>
      <c r="L60" s="117"/>
      <c r="M60" s="122"/>
      <c r="T60" s="117"/>
      <c r="U60" s="117"/>
    </row>
    <row r="61" spans="2:21" x14ac:dyDescent="0.25">
      <c r="J61" s="77" t="s">
        <v>153</v>
      </c>
      <c r="T61" s="117"/>
      <c r="U61" s="117"/>
    </row>
    <row r="62" spans="2:21" x14ac:dyDescent="0.25">
      <c r="I62" s="77">
        <v>1</v>
      </c>
      <c r="J62" s="77">
        <v>2</v>
      </c>
      <c r="K62" s="77">
        <v>3</v>
      </c>
      <c r="L62" s="77">
        <v>4</v>
      </c>
      <c r="T62" s="117"/>
      <c r="U62" s="117"/>
    </row>
    <row r="63" spans="2:21" x14ac:dyDescent="0.25">
      <c r="G63" s="115" t="s">
        <v>106</v>
      </c>
      <c r="H63" s="115"/>
      <c r="I63" s="116">
        <f>'P&amp;L Detail'!G4+'P&amp;L Detail'!G5+'P&amp;L Detail'!G6+'P&amp;L Detail'!G10</f>
        <v>182081.25</v>
      </c>
      <c r="J63" s="116">
        <f>'P&amp;L Detail'!I4+'P&amp;L Detail'!I5+'P&amp;L Detail'!I6+'P&amp;L Detail'!I10</f>
        <v>578925.00000000023</v>
      </c>
      <c r="K63" s="116">
        <f>'P&amp;L Detail'!K4+'P&amp;L Detail'!K5+'P&amp;L Detail'!K6+'P&amp;L Detail'!K10</f>
        <v>1087818.7500000005</v>
      </c>
      <c r="L63" s="116">
        <f>'P&amp;L Detail'!M4+'P&amp;L Detail'!M5+'P&amp;L Detail'!M6+'P&amp;L Detail'!M10</f>
        <v>1708762.5000000002</v>
      </c>
      <c r="O63" s="116">
        <f>SUM(I63:L63)</f>
        <v>3557587.5000000009</v>
      </c>
      <c r="T63" s="117"/>
      <c r="U63" s="117"/>
    </row>
    <row r="64" spans="2:21" x14ac:dyDescent="0.25">
      <c r="G64" s="117" t="s">
        <v>105</v>
      </c>
      <c r="H64" s="117"/>
      <c r="I64" s="116">
        <f>'P&amp;L Detail'!G9+'P&amp;L Detail'!G11</f>
        <v>305468.75</v>
      </c>
      <c r="J64" s="116">
        <f>'P&amp;L Detail'!I9+'P&amp;L Detail'!I11</f>
        <v>440885.41666666663</v>
      </c>
      <c r="K64" s="116">
        <f>'P&amp;L Detail'!K9+'P&amp;L Detail'!K11</f>
        <v>591406.25000000023</v>
      </c>
      <c r="L64" s="117">
        <f>'P&amp;L Detail'!M9+'P&amp;L Detail'!M11</f>
        <v>754427.08333333337</v>
      </c>
      <c r="O64" s="116">
        <f>SUM(I64:L64)</f>
        <v>2092187.5000000005</v>
      </c>
      <c r="T64" s="117"/>
      <c r="U64" s="117"/>
    </row>
    <row r="65" spans="7:21" x14ac:dyDescent="0.25">
      <c r="G65" s="117"/>
      <c r="H65" s="117"/>
      <c r="I65" s="116">
        <f>SUM(I63:I64)</f>
        <v>487550</v>
      </c>
      <c r="J65" s="116">
        <f t="shared" ref="J65:K65" si="0">SUM(J63:J64)</f>
        <v>1019810.4166666669</v>
      </c>
      <c r="K65" s="116">
        <f t="shared" si="0"/>
        <v>1679225.0000000007</v>
      </c>
      <c r="L65" s="117">
        <f>SUM(L62:L64)</f>
        <v>2463193.5833333335</v>
      </c>
      <c r="O65" s="116">
        <f>SUM(I65:L65)</f>
        <v>5649779.0000000019</v>
      </c>
      <c r="T65" s="117"/>
      <c r="U65" s="117"/>
    </row>
    <row r="66" spans="7:21" x14ac:dyDescent="0.25">
      <c r="G66" s="117"/>
      <c r="H66" s="117"/>
      <c r="I66" s="117"/>
      <c r="J66" s="117"/>
      <c r="K66" s="117"/>
      <c r="L66" s="117"/>
      <c r="O66" s="117"/>
      <c r="T66" s="117"/>
      <c r="U66" s="117"/>
    </row>
    <row r="67" spans="7:21" x14ac:dyDescent="0.25">
      <c r="J67" s="77" t="s">
        <v>161</v>
      </c>
      <c r="O67" s="117"/>
      <c r="T67" s="117"/>
      <c r="U67" s="117"/>
    </row>
    <row r="68" spans="7:21" x14ac:dyDescent="0.25">
      <c r="I68" s="77">
        <v>1</v>
      </c>
      <c r="J68" s="77">
        <v>2</v>
      </c>
      <c r="K68" s="77">
        <v>3</v>
      </c>
      <c r="L68" s="77">
        <v>4</v>
      </c>
      <c r="O68" s="117"/>
      <c r="T68" s="117"/>
      <c r="U68" s="117"/>
    </row>
    <row r="69" spans="7:21" x14ac:dyDescent="0.25">
      <c r="G69" s="115" t="s">
        <v>106</v>
      </c>
      <c r="H69" s="115"/>
      <c r="I69" s="116">
        <f>I63-'P&amp;L Detail'!G27-'P&amp;L Detail'!G30</f>
        <v>50590.3125</v>
      </c>
      <c r="J69" s="116">
        <f>J63-'P&amp;L Detail'!I27-'P&amp;L Detail'!I30</f>
        <v>160851.25000000012</v>
      </c>
      <c r="K69" s="116">
        <f>K63-'P&amp;L Detail'!K27-'P&amp;L Detail'!K30</f>
        <v>302244.68750000012</v>
      </c>
      <c r="L69" s="116">
        <f>L63-'P&amp;L Detail'!M27-'P&amp;L Detail'!M30</f>
        <v>474770.62499999988</v>
      </c>
      <c r="O69" s="116">
        <f>SUM(I69:L69)</f>
        <v>988456.87500000012</v>
      </c>
      <c r="P69" s="123">
        <f>O69/O63</f>
        <v>0.27784471218206153</v>
      </c>
      <c r="T69" s="117"/>
      <c r="U69" s="117"/>
    </row>
    <row r="70" spans="7:21" x14ac:dyDescent="0.25">
      <c r="G70" s="117" t="s">
        <v>105</v>
      </c>
      <c r="H70" s="117"/>
      <c r="I70" s="117">
        <f>I64-'P&amp;L Detail'!G29-'P&amp;L Detail'!G31</f>
        <v>106914.0625</v>
      </c>
      <c r="J70" s="117">
        <f>J64-'P&amp;L Detail'!I29-'P&amp;L Detail'!I31</f>
        <v>154309.89583333331</v>
      </c>
      <c r="K70" s="117">
        <f>K64-'P&amp;L Detail'!K29-'P&amp;L Detail'!K31</f>
        <v>206992.18750000023</v>
      </c>
      <c r="L70" s="117">
        <f>L64-'P&amp;L Detail'!M29-'P&amp;L Detail'!M31</f>
        <v>264049.47916666663</v>
      </c>
      <c r="O70" s="116">
        <f>SUM(I70:L70)</f>
        <v>732265.62500000023</v>
      </c>
      <c r="P70" s="123">
        <f t="shared" ref="P70:P71" si="1">O70/O64</f>
        <v>0.35000000000000003</v>
      </c>
      <c r="T70" s="117"/>
      <c r="U70" s="117"/>
    </row>
    <row r="71" spans="7:21" x14ac:dyDescent="0.25">
      <c r="G71" s="117"/>
      <c r="H71" s="117"/>
      <c r="I71" s="117">
        <f>SUM(I69:I70)</f>
        <v>157504.375</v>
      </c>
      <c r="J71" s="117">
        <f t="shared" ref="J71:K71" si="2">SUM(J69:J70)</f>
        <v>315161.14583333343</v>
      </c>
      <c r="K71" s="117">
        <f t="shared" si="2"/>
        <v>509236.87500000035</v>
      </c>
      <c r="L71" s="117">
        <f t="shared" ref="L71" si="3">SUM(L68:L70)</f>
        <v>738824.10416666651</v>
      </c>
      <c r="O71" s="116">
        <f>SUM(I71:L71)</f>
        <v>1720726.5000000002</v>
      </c>
      <c r="P71" s="123">
        <f t="shared" si="1"/>
        <v>0.30456527591610216</v>
      </c>
      <c r="T71" s="117"/>
      <c r="U71" s="117"/>
    </row>
    <row r="72" spans="7:21" x14ac:dyDescent="0.25">
      <c r="G72" s="117"/>
      <c r="H72" s="117"/>
      <c r="I72" s="117"/>
      <c r="J72" s="117"/>
      <c r="K72" s="117"/>
      <c r="L72" s="122"/>
      <c r="N72" s="117"/>
      <c r="O72" s="117"/>
      <c r="T72" s="117"/>
      <c r="U72" s="117"/>
    </row>
    <row r="73" spans="7:21" x14ac:dyDescent="0.25">
      <c r="L73" s="78"/>
      <c r="O73" s="117"/>
      <c r="T73" s="117"/>
      <c r="U73" s="117"/>
    </row>
    <row r="74" spans="7:21" x14ac:dyDescent="0.25">
      <c r="J74" s="77" t="s">
        <v>111</v>
      </c>
      <c r="L74" s="78"/>
      <c r="O74" s="117"/>
      <c r="T74" s="117"/>
      <c r="U74" s="117"/>
    </row>
    <row r="75" spans="7:21" x14ac:dyDescent="0.25">
      <c r="I75" s="77">
        <v>1</v>
      </c>
      <c r="J75" s="77">
        <v>2</v>
      </c>
      <c r="K75" s="77">
        <v>3</v>
      </c>
      <c r="L75" s="77">
        <v>4</v>
      </c>
      <c r="O75" s="117"/>
      <c r="T75" s="117"/>
      <c r="U75" s="117"/>
    </row>
    <row r="76" spans="7:21" x14ac:dyDescent="0.25">
      <c r="G76" s="115" t="s">
        <v>106</v>
      </c>
      <c r="H76" s="115"/>
      <c r="I76" s="116">
        <f>I69*$K$20</f>
        <v>252951.5625</v>
      </c>
      <c r="J76" s="116">
        <f>J69*$K$20</f>
        <v>804256.25000000058</v>
      </c>
      <c r="K76" s="116">
        <f>K69*$K$20</f>
        <v>1511223.4375000005</v>
      </c>
      <c r="L76" s="116">
        <f>L69*$K$20</f>
        <v>2373853.1249999995</v>
      </c>
      <c r="T76" s="117"/>
      <c r="U76" s="117"/>
    </row>
    <row r="77" spans="7:21" x14ac:dyDescent="0.25">
      <c r="G77" s="117" t="s">
        <v>105</v>
      </c>
      <c r="H77" s="117"/>
      <c r="I77" s="117">
        <f>I70*$K$21</f>
        <v>160371.09375</v>
      </c>
      <c r="J77" s="117">
        <f>J70*$K$21</f>
        <v>231464.84374999997</v>
      </c>
      <c r="K77" s="117">
        <f>K70*$K$21</f>
        <v>310488.28125000035</v>
      </c>
      <c r="L77" s="117">
        <f>L70*$K$21</f>
        <v>396074.21874999994</v>
      </c>
      <c r="T77" s="117"/>
      <c r="U77" s="117"/>
    </row>
    <row r="78" spans="7:21" x14ac:dyDescent="0.25">
      <c r="G78" s="117"/>
      <c r="H78" s="117"/>
      <c r="I78" s="117">
        <f>SUM(I76:I77)</f>
        <v>413322.65625</v>
      </c>
      <c r="J78" s="117">
        <f t="shared" ref="J78:K78" si="4">SUM(J76:J77)</f>
        <v>1035721.0937500006</v>
      </c>
      <c r="K78" s="117">
        <f t="shared" si="4"/>
        <v>1821711.7187500009</v>
      </c>
      <c r="L78" s="117">
        <f>SUM(L76:L77)</f>
        <v>2769927.3437499995</v>
      </c>
      <c r="T78" s="117"/>
      <c r="U78" s="117"/>
    </row>
    <row r="79" spans="7:21" x14ac:dyDescent="0.25">
      <c r="G79" s="117"/>
      <c r="H79" s="117"/>
      <c r="I79" s="117"/>
      <c r="K79" s="117"/>
      <c r="L79" s="117"/>
      <c r="M79" s="122"/>
      <c r="T79" s="117"/>
      <c r="U79" s="117"/>
    </row>
    <row r="80" spans="7:21" hidden="1" x14ac:dyDescent="0.25">
      <c r="J80" s="77" t="s">
        <v>16</v>
      </c>
      <c r="T80" s="117"/>
      <c r="U80" s="117"/>
    </row>
    <row r="81" spans="2:21" hidden="1" x14ac:dyDescent="0.25">
      <c r="I81" s="77">
        <v>1</v>
      </c>
      <c r="J81" s="77">
        <v>2</v>
      </c>
      <c r="K81" s="77">
        <v>3</v>
      </c>
      <c r="N81" s="77">
        <v>4</v>
      </c>
      <c r="T81" s="117"/>
      <c r="U81" s="117"/>
    </row>
    <row r="82" spans="2:21" hidden="1" x14ac:dyDescent="0.25">
      <c r="G82" s="115" t="s">
        <v>77</v>
      </c>
      <c r="H82" s="115"/>
      <c r="I82" s="124">
        <f>G9*$C$57/100</f>
        <v>0</v>
      </c>
      <c r="J82" s="124">
        <f>(H9*$C$57/100)+I82-(I82*'"Fine Tune" Variables'!$G$9)</f>
        <v>0</v>
      </c>
      <c r="K82" s="124">
        <f>(J9*$C$57/100)+J82-((J82-I82)*'"Fine Tune" Variables'!$G$9)</f>
        <v>0</v>
      </c>
      <c r="L82" s="124"/>
      <c r="M82" s="125"/>
      <c r="N82" s="124">
        <f>(K9*$C$57/100)+K82-((K82-J82)*'"Fine Tune" Variables'!$G$9)</f>
        <v>0</v>
      </c>
    </row>
    <row r="83" spans="2:21" hidden="1" x14ac:dyDescent="0.25"/>
    <row r="84" spans="2:21" hidden="1" x14ac:dyDescent="0.25">
      <c r="B84" s="307" t="s">
        <v>177</v>
      </c>
      <c r="C84" s="304">
        <f>C7</f>
        <v>20</v>
      </c>
    </row>
    <row r="85" spans="2:21" hidden="1" x14ac:dyDescent="0.25">
      <c r="B85" s="308"/>
      <c r="C85" s="305"/>
    </row>
    <row r="86" spans="2:21" hidden="1" x14ac:dyDescent="0.25">
      <c r="B86" s="309"/>
      <c r="C86" s="306"/>
    </row>
    <row r="87" spans="2:21" hidden="1" x14ac:dyDescent="0.25"/>
    <row r="88" spans="2:21" hidden="1" x14ac:dyDescent="0.25"/>
    <row r="89" spans="2:21" hidden="1" x14ac:dyDescent="0.25">
      <c r="F89" s="126" t="s">
        <v>44</v>
      </c>
      <c r="G89" s="127" t="s">
        <v>24</v>
      </c>
      <c r="H89" s="102"/>
      <c r="I89" s="102" t="s">
        <v>11</v>
      </c>
      <c r="J89" s="102" t="s">
        <v>12</v>
      </c>
      <c r="K89" s="103" t="s">
        <v>13</v>
      </c>
      <c r="L89" s="234"/>
      <c r="M89" s="203"/>
    </row>
    <row r="90" spans="2:21" hidden="1" x14ac:dyDescent="0.25">
      <c r="F90" s="204"/>
      <c r="G90" s="128">
        <v>0</v>
      </c>
      <c r="H90" s="129"/>
      <c r="I90" s="129">
        <v>0</v>
      </c>
      <c r="J90" s="129">
        <v>0</v>
      </c>
      <c r="K90" s="130">
        <v>0</v>
      </c>
      <c r="L90" s="235"/>
      <c r="M90" s="104"/>
    </row>
    <row r="91" spans="2:21" hidden="1" x14ac:dyDescent="0.25"/>
    <row r="92" spans="2:21" hidden="1" x14ac:dyDescent="0.25"/>
    <row r="93" spans="2:21" hidden="1" x14ac:dyDescent="0.25"/>
    <row r="94" spans="2:21" hidden="1" x14ac:dyDescent="0.25">
      <c r="B94" s="307" t="s">
        <v>196</v>
      </c>
      <c r="C94" s="313">
        <v>0</v>
      </c>
    </row>
    <row r="95" spans="2:21" hidden="1" x14ac:dyDescent="0.25">
      <c r="B95" s="309"/>
      <c r="C95" s="314"/>
    </row>
    <row r="96" spans="2:21" hidden="1" x14ac:dyDescent="0.25">
      <c r="B96" s="307" t="s">
        <v>197</v>
      </c>
      <c r="C96" s="313">
        <v>0</v>
      </c>
      <c r="I96" s="202"/>
    </row>
    <row r="97" spans="2:9" hidden="1" x14ac:dyDescent="0.25">
      <c r="B97" s="308"/>
      <c r="C97" s="315"/>
      <c r="I97" s="82"/>
    </row>
    <row r="98" spans="2:9" hidden="1" x14ac:dyDescent="0.25">
      <c r="B98" s="309"/>
      <c r="C98" s="314"/>
      <c r="I98" s="82"/>
    </row>
    <row r="99" spans="2:9" hidden="1" x14ac:dyDescent="0.25">
      <c r="I99" s="86"/>
    </row>
    <row r="100" spans="2:9" hidden="1" x14ac:dyDescent="0.25">
      <c r="B100" s="307" t="s">
        <v>181</v>
      </c>
      <c r="C100" s="310"/>
      <c r="D100" s="301">
        <v>0</v>
      </c>
      <c r="I100" s="82"/>
    </row>
    <row r="101" spans="2:9" hidden="1" x14ac:dyDescent="0.25">
      <c r="B101" s="308"/>
      <c r="C101" s="311"/>
      <c r="D101" s="302"/>
      <c r="I101" s="90"/>
    </row>
    <row r="102" spans="2:9" hidden="1" x14ac:dyDescent="0.25">
      <c r="B102" s="309"/>
      <c r="C102" s="312"/>
      <c r="D102" s="303"/>
    </row>
    <row r="103" spans="2:9" hidden="1" x14ac:dyDescent="0.25"/>
    <row r="104" spans="2:9" hidden="1" x14ac:dyDescent="0.25">
      <c r="B104" s="80" t="s">
        <v>193</v>
      </c>
      <c r="C104" s="84">
        <v>0</v>
      </c>
    </row>
    <row r="105" spans="2:9" ht="15" hidden="1" x14ac:dyDescent="0.25">
      <c r="B105" s="80" t="s">
        <v>194</v>
      </c>
      <c r="C105" s="244">
        <v>0</v>
      </c>
    </row>
    <row r="106" spans="2:9" hidden="1" x14ac:dyDescent="0.25"/>
    <row r="107" spans="2:9" hidden="1" x14ac:dyDescent="0.25"/>
    <row r="108" spans="2:9" hidden="1" x14ac:dyDescent="0.25">
      <c r="B108" s="80" t="s">
        <v>152</v>
      </c>
      <c r="C108" s="88">
        <v>0</v>
      </c>
    </row>
    <row r="109" spans="2:9" hidden="1" x14ac:dyDescent="0.25"/>
  </sheetData>
  <sheetProtection algorithmName="SHA-512" hashValue="EWbD22wMPIgfH6iGtd4HZB1cXXsJpuVdzgyDwYnvd2nTFFZq5EFfC7HYw76/wfXlnB3pBcPwH14B/bKRfLF5pg==" saltValue="ZsoiKzREHTgzhjqRV84PbA==" spinCount="100000" sheet="1" objects="1" scenarios="1"/>
  <mergeCells count="42">
    <mergeCell ref="K15:K16"/>
    <mergeCell ref="F18:G18"/>
    <mergeCell ref="F14:F16"/>
    <mergeCell ref="G15:G16"/>
    <mergeCell ref="H15:I16"/>
    <mergeCell ref="J15:J16"/>
    <mergeCell ref="K10:K11"/>
    <mergeCell ref="G12:G13"/>
    <mergeCell ref="H12:I13"/>
    <mergeCell ref="J12:J13"/>
    <mergeCell ref="K12:K13"/>
    <mergeCell ref="C7:C9"/>
    <mergeCell ref="G2:G4"/>
    <mergeCell ref="F2:F4"/>
    <mergeCell ref="I18:K19"/>
    <mergeCell ref="I23:J24"/>
    <mergeCell ref="F21:G21"/>
    <mergeCell ref="B11:C12"/>
    <mergeCell ref="F8:F9"/>
    <mergeCell ref="B2:C4"/>
    <mergeCell ref="B7:B9"/>
    <mergeCell ref="F10:F13"/>
    <mergeCell ref="G10:G11"/>
    <mergeCell ref="H8:I8"/>
    <mergeCell ref="H9:I9"/>
    <mergeCell ref="H10:I11"/>
    <mergeCell ref="J10:J11"/>
    <mergeCell ref="D100:D102"/>
    <mergeCell ref="C84:C86"/>
    <mergeCell ref="B84:B86"/>
    <mergeCell ref="B100:C102"/>
    <mergeCell ref="C94:C95"/>
    <mergeCell ref="C96:C98"/>
    <mergeCell ref="B94:B95"/>
    <mergeCell ref="B96:B98"/>
    <mergeCell ref="O44:O48"/>
    <mergeCell ref="B54:E54"/>
    <mergeCell ref="M27:S27"/>
    <mergeCell ref="B18:C19"/>
    <mergeCell ref="B25:C26"/>
    <mergeCell ref="F24:G25"/>
    <mergeCell ref="K23:K24"/>
  </mergeCells>
  <pageMargins left="0.7" right="0.7" top="0.75" bottom="0.75" header="0.3" footer="0.3"/>
  <pageSetup orientation="portrait" r:id="rId1"/>
  <ignoredErrors>
    <ignoredError sqref="G12:K13 J16:K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Scroll Bar 5">
              <controlPr locked="0" defaultSize="0" autoPict="0">
                <anchor moveWithCells="1">
                  <from>
                    <xdr:col>4</xdr:col>
                    <xdr:colOff>38100</xdr:colOff>
                    <xdr:row>21</xdr:row>
                    <xdr:rowOff>9525</xdr:rowOff>
                  </from>
                  <to>
                    <xdr:col>7</xdr:col>
                    <xdr:colOff>0</xdr:colOff>
                    <xdr:row>22</xdr:row>
                    <xdr:rowOff>38100</xdr:rowOff>
                  </to>
                </anchor>
              </controlPr>
            </control>
          </mc:Choice>
        </mc:AlternateContent>
        <mc:AlternateContent xmlns:mc="http://schemas.openxmlformats.org/markup-compatibility/2006">
          <mc:Choice Requires="x14">
            <control shapeId="1051" r:id="rId5" name="Scroll Bar 27">
              <controlPr locked="0" defaultSize="0" autoPict="0">
                <anchor moveWithCells="1">
                  <from>
                    <xdr:col>5</xdr:col>
                    <xdr:colOff>0</xdr:colOff>
                    <xdr:row>18</xdr:row>
                    <xdr:rowOff>9525</xdr:rowOff>
                  </from>
                  <to>
                    <xdr:col>7</xdr:col>
                    <xdr:colOff>9525</xdr:colOff>
                    <xdr:row>19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R129"/>
  <sheetViews>
    <sheetView showGridLines="0" zoomScale="80" zoomScaleNormal="80" workbookViewId="0">
      <pane xSplit="4" ySplit="2" topLeftCell="E3" activePane="bottomRight" state="frozen"/>
      <selection pane="topRight" activeCell="C1" sqref="C1"/>
      <selection pane="bottomLeft" activeCell="A3" sqref="A3"/>
      <selection pane="bottomRight" activeCell="Q29" sqref="Q29"/>
    </sheetView>
  </sheetViews>
  <sheetFormatPr defaultColWidth="9.125" defaultRowHeight="14.25" x14ac:dyDescent="0.25"/>
  <cols>
    <col min="1" max="1" width="9.125" style="77"/>
    <col min="2" max="3" width="5" style="77" customWidth="1"/>
    <col min="4" max="4" width="55.875" style="77" customWidth="1"/>
    <col min="5" max="5" width="16.75" style="77" hidden="1" customWidth="1"/>
    <col min="6" max="6" width="9.125" style="77" hidden="1" customWidth="1"/>
    <col min="7" max="7" width="16.75" style="77" customWidth="1"/>
    <col min="8" max="8" width="9.125" style="77"/>
    <col min="9" max="9" width="16.75" style="77" customWidth="1"/>
    <col min="10" max="10" width="9.125" style="77"/>
    <col min="11" max="11" width="16.75" style="77" customWidth="1"/>
    <col min="12" max="12" width="11.25" style="77" bestFit="1" customWidth="1"/>
    <col min="13" max="13" width="16.75" style="77" customWidth="1"/>
    <col min="14" max="14" width="11" style="77" customWidth="1"/>
    <col min="15" max="15" width="5.375" style="77" customWidth="1"/>
    <col min="16" max="16" width="12" style="77" bestFit="1" customWidth="1"/>
    <col min="17" max="17" width="11" style="106" bestFit="1" customWidth="1"/>
    <col min="18" max="18" width="35.25" style="77" customWidth="1"/>
    <col min="19" max="16384" width="9.125" style="77"/>
  </cols>
  <sheetData>
    <row r="1" spans="1:17" ht="25.5" customHeight="1" x14ac:dyDescent="0.25">
      <c r="E1" s="346" t="s">
        <v>19</v>
      </c>
      <c r="F1" s="346"/>
      <c r="G1" s="346" t="s">
        <v>6</v>
      </c>
      <c r="H1" s="346"/>
      <c r="I1" s="346" t="s">
        <v>3</v>
      </c>
      <c r="J1" s="346"/>
      <c r="K1" s="346" t="s">
        <v>4</v>
      </c>
      <c r="L1" s="346"/>
      <c r="M1" s="346" t="s">
        <v>5</v>
      </c>
      <c r="N1" s="346"/>
      <c r="Q1" s="77"/>
    </row>
    <row r="2" spans="1:17" ht="28.5" x14ac:dyDescent="0.25">
      <c r="E2" s="131"/>
      <c r="F2" s="132" t="s">
        <v>7</v>
      </c>
      <c r="G2" s="115"/>
      <c r="H2" s="132" t="s">
        <v>7</v>
      </c>
      <c r="I2" s="115"/>
      <c r="J2" s="132" t="s">
        <v>7</v>
      </c>
      <c r="K2" s="115"/>
      <c r="L2" s="132" t="s">
        <v>7</v>
      </c>
      <c r="M2" s="115"/>
      <c r="N2" s="132" t="s">
        <v>7</v>
      </c>
      <c r="Q2" s="77"/>
    </row>
    <row r="3" spans="1:17" x14ac:dyDescent="0.25">
      <c r="A3" s="345" t="s">
        <v>153</v>
      </c>
      <c r="B3" s="77" t="s">
        <v>87</v>
      </c>
      <c r="Q3" s="77"/>
    </row>
    <row r="4" spans="1:17" x14ac:dyDescent="0.25">
      <c r="A4" s="345"/>
      <c r="C4" s="77" t="s">
        <v>184</v>
      </c>
      <c r="E4" s="216">
        <v>0</v>
      </c>
      <c r="F4" s="123">
        <f>IFERROR(E4/$E$48,0)</f>
        <v>0</v>
      </c>
      <c r="G4" s="116">
        <f>FV('"Fine Tune" Variables'!$C$38,1,,-$E4)+'Core Calculations'!B64</f>
        <v>126750</v>
      </c>
      <c r="H4" s="123">
        <f>IFERROR(G4/$G$48,0)</f>
        <v>0.25997333606809558</v>
      </c>
      <c r="I4" s="116">
        <f>FV('"Fine Tune" Variables'!$C$38,2,,-$E4)+'Core Calculations'!C64</f>
        <v>403000.00000000012</v>
      </c>
      <c r="J4" s="123">
        <f>IFERROR(I4/$I$48,0)</f>
        <v>0.39517148816467118</v>
      </c>
      <c r="K4" s="116">
        <f>FV('"Fine Tune" Variables'!$C$38,3,,-$E4)+'Core Calculations'!D64</f>
        <v>757250.00000000035</v>
      </c>
      <c r="L4" s="123">
        <f>IFERROR(K4/$K$48,0)</f>
        <v>0.45095207610653726</v>
      </c>
      <c r="M4" s="116">
        <f>FV('"Fine Tune" Variables'!$C$38,4,,-$E4)+'Core Calculations'!E64</f>
        <v>1189500.0000000002</v>
      </c>
      <c r="N4" s="123">
        <f>IFERROR(M4/$M$48,0)</f>
        <v>0.48291045400991767</v>
      </c>
      <c r="Q4" s="77"/>
    </row>
    <row r="5" spans="1:17" s="78" customFormat="1" x14ac:dyDescent="0.25">
      <c r="A5" s="345"/>
      <c r="C5" s="133" t="s">
        <v>63</v>
      </c>
      <c r="E5" s="217">
        <v>0</v>
      </c>
      <c r="F5" s="123">
        <f>IFERROR(E5/$E$48,0)</f>
        <v>0</v>
      </c>
      <c r="G5" s="249">
        <f>FV('"Fine Tune" Variables'!$C$38,1,,-$E5)+'Core Calculations'!B61</f>
        <v>1706.25</v>
      </c>
      <c r="H5" s="123">
        <f>IFERROR(G5/$G$48,0)</f>
        <v>3.4996410624551326E-3</v>
      </c>
      <c r="I5" s="249">
        <f>FV('"Fine Tune" Variables'!$C$38,2,,-$E5)+'Core Calculations'!C61</f>
        <v>5425.0000000000018</v>
      </c>
      <c r="J5" s="123">
        <f>IFERROR(I5/$I$48,0)</f>
        <v>5.3196161868321124E-3</v>
      </c>
      <c r="K5" s="249">
        <f>FV('"Fine Tune" Variables'!$C$38,3,,-$E5)+'Core Calculations'!D61</f>
        <v>10193.750000000005</v>
      </c>
      <c r="L5" s="123">
        <f>IFERROR(K5/$K$48,0)</f>
        <v>6.0705087168187715E-3</v>
      </c>
      <c r="M5" s="249">
        <f>FV('"Fine Tune" Variables'!$C$38,4,,-$E5)+'Core Calculations'!E61</f>
        <v>16012.500000000004</v>
      </c>
      <c r="N5" s="123">
        <f>IFERROR(M5/$M$48,0)</f>
        <v>6.5007176501335074E-3</v>
      </c>
    </row>
    <row r="6" spans="1:17" hidden="1" x14ac:dyDescent="0.25">
      <c r="A6" s="345"/>
      <c r="C6" s="77" t="s">
        <v>65</v>
      </c>
      <c r="E6" s="216">
        <v>0</v>
      </c>
      <c r="F6" s="123">
        <f>IFERROR(E6/$E$48,0)</f>
        <v>0</v>
      </c>
      <c r="G6" s="135">
        <f>FV('"Fine Tune" Variables'!$C$38,1,,-$E6)</f>
        <v>0</v>
      </c>
      <c r="H6" s="123">
        <f>IFERROR(G6/$G$48,0)</f>
        <v>0</v>
      </c>
      <c r="I6" s="135">
        <f>FV('"Fine Tune" Variables'!$C$38,2,,-$E6)</f>
        <v>0</v>
      </c>
      <c r="J6" s="123">
        <f>IFERROR(I6/$I$48,0)</f>
        <v>0</v>
      </c>
      <c r="K6" s="135">
        <f>FV('"Fine Tune" Variables'!$C$38,3,,-$E6)</f>
        <v>0</v>
      </c>
      <c r="L6" s="123">
        <f>IFERROR(K6/$K$48,0)</f>
        <v>0</v>
      </c>
      <c r="M6" s="135">
        <f>FV('"Fine Tune" Variables'!$C$38,4,,-$E6)</f>
        <v>0</v>
      </c>
      <c r="N6" s="123">
        <f>IFERROR(M6/$M$48,0)</f>
        <v>0</v>
      </c>
      <c r="Q6" s="77"/>
    </row>
    <row r="7" spans="1:17" x14ac:dyDescent="0.25">
      <c r="A7" s="345"/>
      <c r="D7" s="115" t="s">
        <v>31</v>
      </c>
      <c r="E7" s="139">
        <f>SUM(E4:E6)</f>
        <v>0</v>
      </c>
      <c r="F7" s="123">
        <f>IFERROR(E7/$E$48,0)</f>
        <v>0</v>
      </c>
      <c r="G7" s="140">
        <f>SUM(G4:G6)</f>
        <v>128456.25</v>
      </c>
      <c r="H7" s="123">
        <f>IFERROR(G7/$G$48,0)</f>
        <v>0.26347297713055073</v>
      </c>
      <c r="I7" s="140">
        <f>SUM(I4:I6)</f>
        <v>408425.00000000012</v>
      </c>
      <c r="J7" s="123">
        <f>IFERROR(I7/$I$48,0)</f>
        <v>0.40049110435150326</v>
      </c>
      <c r="K7" s="140">
        <f>SUM(K4:K6)</f>
        <v>767443.75000000035</v>
      </c>
      <c r="L7" s="123">
        <f>IFERROR(K7/$K$48,0)</f>
        <v>0.457022584823356</v>
      </c>
      <c r="M7" s="140">
        <f>SUM(M4:M6)</f>
        <v>1205512.5000000002</v>
      </c>
      <c r="N7" s="123">
        <f>IFERROR(M7/$M$48,0)</f>
        <v>0.48941117166005116</v>
      </c>
      <c r="Q7" s="77"/>
    </row>
    <row r="8" spans="1:17" x14ac:dyDescent="0.25">
      <c r="A8" s="345"/>
      <c r="B8" s="77" t="s">
        <v>86</v>
      </c>
      <c r="C8" s="114"/>
      <c r="E8" s="141"/>
      <c r="F8" s="123"/>
      <c r="G8" s="116"/>
      <c r="H8" s="123"/>
      <c r="I8" s="117"/>
      <c r="J8" s="123"/>
      <c r="K8" s="117"/>
      <c r="L8" s="123"/>
      <c r="M8" s="117"/>
      <c r="N8" s="123"/>
      <c r="Q8" s="77"/>
    </row>
    <row r="9" spans="1:17" x14ac:dyDescent="0.25">
      <c r="A9" s="345"/>
      <c r="C9" s="77" t="s">
        <v>149</v>
      </c>
      <c r="E9" s="218">
        <v>0</v>
      </c>
      <c r="F9" s="123">
        <f>IFERROR(E9/$E$48,0)</f>
        <v>0</v>
      </c>
      <c r="G9" s="116">
        <f>FV('"Fine Tune" Variables'!$C$38,1,,-$E9)+'Core Calculations'!B60+'Core Calculations'!B63</f>
        <v>305468.75</v>
      </c>
      <c r="H9" s="123">
        <f>IFERROR(G9/$G$48,0)</f>
        <v>0.62653830376371655</v>
      </c>
      <c r="I9" s="116">
        <f>FV('"Fine Tune" Variables'!$C$38,2,,-$E9)+'Core Calculations'!C60+'Core Calculations'!C63</f>
        <v>440885.41666666663</v>
      </c>
      <c r="J9" s="123">
        <f>IFERROR(I9/$I$48,0)</f>
        <v>0.43232095834805884</v>
      </c>
      <c r="K9" s="116">
        <f>FV('"Fine Tune" Variables'!$C$38,3,,-$E9)+'Core Calculations'!D60+'Core Calculations'!D63</f>
        <v>591406.25000000023</v>
      </c>
      <c r="L9" s="123">
        <f>IFERROR(K9/$K$48,0)</f>
        <v>0.35218999836233977</v>
      </c>
      <c r="M9" s="116">
        <f>FV('"Fine Tune" Variables'!$C$38,4,,-$E9)+'Core Calculations'!E60+'Core Calculations'!E63</f>
        <v>754427.08333333337</v>
      </c>
      <c r="N9" s="123">
        <f>IFERROR(M9/$M$48,0)</f>
        <v>0.30628055933575277</v>
      </c>
      <c r="Q9" s="77"/>
    </row>
    <row r="10" spans="1:17" x14ac:dyDescent="0.25">
      <c r="A10" s="345"/>
      <c r="C10" s="77" t="s">
        <v>70</v>
      </c>
      <c r="E10" s="218">
        <v>0</v>
      </c>
      <c r="F10" s="123">
        <f>IFERROR(E10/$E$48,0)</f>
        <v>0</v>
      </c>
      <c r="G10" s="135">
        <f>FV('"Fine Tune" Variables'!$C$38,1,,-$E10)+'Core Calculations'!B62</f>
        <v>53625</v>
      </c>
      <c r="H10" s="123">
        <f>IFERROR(G10/$G$48,0)</f>
        <v>0.10998871910573274</v>
      </c>
      <c r="I10" s="135">
        <f>FV('"Fine Tune" Variables'!$C$38,2,,-$E10)+'Core Calculations'!C62</f>
        <v>170500.00000000006</v>
      </c>
      <c r="J10" s="123">
        <f>IFERROR(I10/$I$48,0)</f>
        <v>0.16718793730043782</v>
      </c>
      <c r="K10" s="135">
        <f>FV('"Fine Tune" Variables'!$C$38,3,,-$E10)+'Core Calculations'!D62</f>
        <v>320375.00000000012</v>
      </c>
      <c r="L10" s="123">
        <f>IFERROR(K10/$K$48,0)</f>
        <v>0.19078741681430419</v>
      </c>
      <c r="M10" s="135">
        <f>FV('"Fine Tune" Variables'!$C$38,4,,-$E10)+'Core Calculations'!E62</f>
        <v>503250.00000000006</v>
      </c>
      <c r="N10" s="123">
        <f>IFERROR(M10/$M$48,0)</f>
        <v>0.20430826900419591</v>
      </c>
      <c r="Q10" s="77"/>
    </row>
    <row r="11" spans="1:17" x14ac:dyDescent="0.25">
      <c r="A11" s="345"/>
      <c r="C11" s="99" t="s">
        <v>36</v>
      </c>
      <c r="E11" s="136" t="s">
        <v>20</v>
      </c>
      <c r="F11" s="123"/>
      <c r="G11" s="138">
        <f>'Core Calculations'!B58</f>
        <v>0</v>
      </c>
      <c r="H11" s="123">
        <f>IFERROR(G11/$G$48,0)</f>
        <v>0</v>
      </c>
      <c r="I11" s="138">
        <f>'Core Calculations'!C58</f>
        <v>0</v>
      </c>
      <c r="J11" s="123">
        <f>IFERROR(I11/$I$48,0)</f>
        <v>0</v>
      </c>
      <c r="K11" s="138">
        <f>'Core Calculations'!D58</f>
        <v>0</v>
      </c>
      <c r="L11" s="123">
        <f>IFERROR(K11/$K$48,0)</f>
        <v>0</v>
      </c>
      <c r="M11" s="138">
        <f>'Core Calculations'!E58</f>
        <v>0</v>
      </c>
      <c r="N11" s="123">
        <f>IFERROR(M11/$M$48,0)</f>
        <v>0</v>
      </c>
      <c r="Q11" s="77"/>
    </row>
    <row r="12" spans="1:17" x14ac:dyDescent="0.25">
      <c r="A12" s="345"/>
      <c r="D12" s="115" t="s">
        <v>31</v>
      </c>
      <c r="E12" s="142">
        <f>SUM(E9:E11)</f>
        <v>0</v>
      </c>
      <c r="F12" s="123">
        <f>IFERROR(E12/$E$48,0)</f>
        <v>0</v>
      </c>
      <c r="G12" s="143">
        <f>SUM(G9:G11)</f>
        <v>359093.75</v>
      </c>
      <c r="H12" s="123">
        <f>IFERROR(G12/$G$48,0)</f>
        <v>0.73652702286944927</v>
      </c>
      <c r="I12" s="143">
        <f>SUM(I9:I11)</f>
        <v>611385.41666666674</v>
      </c>
      <c r="J12" s="123">
        <f>IFERROR(I12/$I$48,0)</f>
        <v>0.59950889564849674</v>
      </c>
      <c r="K12" s="143">
        <f>SUM(K9:K11)</f>
        <v>911781.25000000035</v>
      </c>
      <c r="L12" s="123">
        <f>IFERROR(K12/$K$48,0)</f>
        <v>0.542977415176644</v>
      </c>
      <c r="M12" s="143">
        <f>SUM(M9:M11)</f>
        <v>1257677.0833333335</v>
      </c>
      <c r="N12" s="123">
        <f>IFERROR(M12/$M$48,0)</f>
        <v>0.51058882833994867</v>
      </c>
      <c r="Q12" s="77"/>
    </row>
    <row r="13" spans="1:17" hidden="1" x14ac:dyDescent="0.25">
      <c r="A13" s="345"/>
      <c r="E13" s="144"/>
      <c r="F13" s="123"/>
      <c r="G13" s="117"/>
      <c r="H13" s="123"/>
      <c r="I13" s="117"/>
      <c r="J13" s="123"/>
      <c r="K13" s="117"/>
      <c r="L13" s="123"/>
      <c r="M13" s="117"/>
      <c r="N13" s="123"/>
      <c r="Q13" s="77"/>
    </row>
    <row r="14" spans="1:17" hidden="1" x14ac:dyDescent="0.25">
      <c r="A14" s="345"/>
      <c r="D14" s="115" t="s">
        <v>80</v>
      </c>
      <c r="E14" s="219">
        <v>0</v>
      </c>
      <c r="F14" s="123"/>
      <c r="H14" s="123"/>
      <c r="I14" s="117"/>
      <c r="J14" s="123"/>
      <c r="K14" s="117"/>
      <c r="L14" s="123"/>
      <c r="M14" s="117"/>
      <c r="N14" s="123"/>
      <c r="Q14" s="77"/>
    </row>
    <row r="15" spans="1:17" hidden="1" x14ac:dyDescent="0.25">
      <c r="A15" s="345"/>
      <c r="D15" s="115" t="s">
        <v>81</v>
      </c>
      <c r="E15" s="219">
        <v>0</v>
      </c>
      <c r="F15" s="123"/>
      <c r="G15" s="145"/>
      <c r="H15" s="123"/>
      <c r="I15" s="145"/>
      <c r="J15" s="123"/>
      <c r="K15" s="145"/>
      <c r="L15" s="123"/>
      <c r="M15" s="145"/>
      <c r="N15" s="123"/>
      <c r="Q15" s="77"/>
    </row>
    <row r="16" spans="1:17" hidden="1" x14ac:dyDescent="0.25">
      <c r="A16" s="345"/>
      <c r="D16" s="115" t="s">
        <v>82</v>
      </c>
      <c r="E16" s="220">
        <v>0</v>
      </c>
      <c r="F16" s="123"/>
      <c r="G16" s="145"/>
      <c r="H16" s="123"/>
      <c r="I16" s="145"/>
      <c r="J16" s="123"/>
      <c r="K16" s="145"/>
      <c r="L16" s="123"/>
      <c r="M16" s="145"/>
      <c r="N16" s="123"/>
      <c r="Q16" s="77"/>
    </row>
    <row r="17" spans="1:17" hidden="1" x14ac:dyDescent="0.25">
      <c r="A17" s="345"/>
      <c r="D17" s="115" t="s">
        <v>45</v>
      </c>
      <c r="E17" s="146">
        <f>IFERROR(E16/E15,0)</f>
        <v>0</v>
      </c>
      <c r="F17" s="137" t="s">
        <v>41</v>
      </c>
      <c r="G17" s="146"/>
      <c r="H17" s="123"/>
      <c r="I17" s="146"/>
      <c r="J17" s="123"/>
      <c r="K17" s="146"/>
      <c r="L17" s="123"/>
      <c r="M17" s="146"/>
      <c r="N17" s="123"/>
      <c r="Q17" s="77"/>
    </row>
    <row r="18" spans="1:17" hidden="1" x14ac:dyDescent="0.25">
      <c r="A18" s="345"/>
      <c r="D18" s="115"/>
      <c r="E18" s="146"/>
      <c r="F18" s="137"/>
      <c r="G18" s="146"/>
      <c r="H18" s="123"/>
      <c r="I18" s="146"/>
      <c r="J18" s="123"/>
      <c r="K18" s="146"/>
      <c r="L18" s="123"/>
      <c r="M18" s="146"/>
      <c r="N18" s="123"/>
      <c r="Q18" s="77"/>
    </row>
    <row r="19" spans="1:17" hidden="1" x14ac:dyDescent="0.25">
      <c r="A19" s="345"/>
      <c r="B19" s="77" t="s">
        <v>58</v>
      </c>
      <c r="E19" s="115"/>
      <c r="F19" s="132"/>
      <c r="G19" s="115"/>
      <c r="H19" s="132"/>
      <c r="I19" s="115"/>
      <c r="J19" s="132"/>
      <c r="K19" s="115"/>
      <c r="L19" s="132"/>
      <c r="M19" s="115"/>
      <c r="N19" s="132"/>
      <c r="Q19" s="77"/>
    </row>
    <row r="20" spans="1:17" hidden="1" x14ac:dyDescent="0.25">
      <c r="A20" s="345"/>
      <c r="C20" s="77" t="s">
        <v>66</v>
      </c>
      <c r="E20" s="221">
        <v>0</v>
      </c>
      <c r="F20" s="123">
        <f>IFERROR(E20/$E$48,0)</f>
        <v>0</v>
      </c>
      <c r="G20" s="110">
        <f>FV('"Fine Tune" Variables'!$C$39,1,,-$E20)</f>
        <v>0</v>
      </c>
      <c r="H20" s="123">
        <f>IFERROR(G20/$G$48,0)</f>
        <v>0</v>
      </c>
      <c r="I20" s="110">
        <f>FV('"Fine Tune" Variables'!$C$39,2,,-$E20)</f>
        <v>0</v>
      </c>
      <c r="J20" s="123">
        <f>IFERROR(I20/$I$48,0)</f>
        <v>0</v>
      </c>
      <c r="K20" s="110">
        <f>FV('"Fine Tune" Variables'!$C$39,3,,-$E20)</f>
        <v>0</v>
      </c>
      <c r="L20" s="123">
        <f>IFERROR(K20/$K$48,0)</f>
        <v>0</v>
      </c>
      <c r="M20" s="110">
        <f>FV('"Fine Tune" Variables'!$C$39,4,,-$E20)</f>
        <v>0</v>
      </c>
      <c r="N20" s="123">
        <f>IFERROR(M20/$M$48,0)</f>
        <v>0</v>
      </c>
      <c r="Q20" s="77"/>
    </row>
    <row r="21" spans="1:17" x14ac:dyDescent="0.25">
      <c r="E21" s="117"/>
      <c r="F21" s="147"/>
      <c r="G21" s="117"/>
      <c r="H21" s="147"/>
      <c r="I21" s="117"/>
      <c r="J21" s="147"/>
      <c r="K21" s="117"/>
      <c r="L21" s="147"/>
      <c r="M21" s="117"/>
      <c r="N21" s="147"/>
    </row>
    <row r="22" spans="1:17" hidden="1" x14ac:dyDescent="0.25">
      <c r="A22" s="345" t="s">
        <v>32</v>
      </c>
      <c r="D22" s="115"/>
      <c r="E22" s="148"/>
      <c r="F22" s="123"/>
      <c r="G22" s="149"/>
      <c r="H22" s="123"/>
      <c r="I22" s="150"/>
      <c r="J22" s="123"/>
      <c r="K22" s="150"/>
      <c r="L22" s="123"/>
      <c r="M22" s="150"/>
      <c r="N22" s="123"/>
      <c r="Q22" s="77"/>
    </row>
    <row r="23" spans="1:17" x14ac:dyDescent="0.25">
      <c r="A23" s="345"/>
      <c r="B23" s="77" t="s">
        <v>87</v>
      </c>
      <c r="E23" s="115"/>
      <c r="F23" s="132"/>
      <c r="G23" s="151"/>
      <c r="H23" s="132"/>
      <c r="I23" s="115"/>
      <c r="J23" s="132"/>
      <c r="K23" s="115"/>
      <c r="L23" s="132"/>
      <c r="M23" s="115"/>
      <c r="N23" s="132"/>
      <c r="Q23" s="77"/>
    </row>
    <row r="24" spans="1:17" x14ac:dyDescent="0.25">
      <c r="A24" s="345"/>
      <c r="C24" s="77" t="s">
        <v>184</v>
      </c>
      <c r="E24" s="216">
        <v>0</v>
      </c>
      <c r="G24" s="135">
        <f>'Core Calculations'!B70</f>
        <v>101400</v>
      </c>
      <c r="H24" s="123">
        <f>IFERROR(G24/$G$48,0)</f>
        <v>0.20797866885447647</v>
      </c>
      <c r="I24" s="135">
        <f>'Core Calculations'!C70</f>
        <v>322400.00000000006</v>
      </c>
      <c r="J24" s="123">
        <f>IFERROR(I24/$I$48,0)</f>
        <v>0.31613719053173689</v>
      </c>
      <c r="K24" s="135">
        <f>'Core Calculations'!D70</f>
        <v>605800.00000000023</v>
      </c>
      <c r="L24" s="123">
        <f>IFERROR(K24/$K$48,0)</f>
        <v>0.36076166088522976</v>
      </c>
      <c r="M24" s="135">
        <f>'Core Calculations'!E70</f>
        <v>951600.00000000023</v>
      </c>
      <c r="N24" s="123">
        <f>IFERROR(M24/$M$48,0)</f>
        <v>0.38632836320793418</v>
      </c>
      <c r="Q24" s="77"/>
    </row>
    <row r="25" spans="1:17" x14ac:dyDescent="0.25">
      <c r="A25" s="345"/>
      <c r="C25" s="114" t="s">
        <v>63</v>
      </c>
      <c r="E25" s="216">
        <v>0</v>
      </c>
      <c r="F25" s="123"/>
      <c r="G25" s="152">
        <f>'Core Calculations'!B67</f>
        <v>597.1875</v>
      </c>
      <c r="H25" s="123">
        <f>IFERROR(G25/$G$48,0)</f>
        <v>1.2248743718592965E-3</v>
      </c>
      <c r="I25" s="152">
        <f>'Core Calculations'!C67</f>
        <v>1898.7500000000002</v>
      </c>
      <c r="J25" s="123">
        <f>IFERROR(I25/$I$48,0)</f>
        <v>1.8618656653912389E-3</v>
      </c>
      <c r="K25" s="152">
        <f>'Core Calculations'!D67</f>
        <v>3567.8125000000014</v>
      </c>
      <c r="L25" s="123">
        <f>IFERROR(K25/$K$48,0)</f>
        <v>2.1246780508865698E-3</v>
      </c>
      <c r="M25" s="152">
        <f>'Core Calculations'!E67</f>
        <v>5604.3750000000009</v>
      </c>
      <c r="N25" s="123">
        <f>IFERROR(M25/$M$48,0)</f>
        <v>2.2752511775467276E-3</v>
      </c>
      <c r="Q25" s="77"/>
    </row>
    <row r="26" spans="1:17" hidden="1" x14ac:dyDescent="0.25">
      <c r="A26" s="345"/>
      <c r="C26" s="77" t="s">
        <v>65</v>
      </c>
      <c r="E26" s="222">
        <v>0</v>
      </c>
      <c r="F26" s="123"/>
      <c r="G26" s="152">
        <f>(1-IF($E$79&gt;0,$E$79,$E$68))*G6</f>
        <v>0</v>
      </c>
      <c r="H26" s="123">
        <f>IFERROR(G26/$G$48,0)</f>
        <v>0</v>
      </c>
      <c r="I26" s="152">
        <f>(1-IF($E$79&gt;0,$E$79,$E$68))*I6</f>
        <v>0</v>
      </c>
      <c r="J26" s="123">
        <f>IFERROR(I26/$I$48,0)</f>
        <v>0</v>
      </c>
      <c r="K26" s="152">
        <f>(1-IF($E$79&gt;0,$E$79,$E$68))*K6</f>
        <v>0</v>
      </c>
      <c r="L26" s="123">
        <f>IFERROR(K26/$K$48,0)</f>
        <v>0</v>
      </c>
      <c r="M26" s="152">
        <f>(1-IF($E$79&gt;0,$E$79,$E$68))*M6</f>
        <v>0</v>
      </c>
      <c r="N26" s="123">
        <f>IFERROR(M26/$M$48,0)</f>
        <v>0</v>
      </c>
      <c r="Q26" s="77"/>
    </row>
    <row r="27" spans="1:17" x14ac:dyDescent="0.25">
      <c r="A27" s="345"/>
      <c r="D27" s="115" t="s">
        <v>31</v>
      </c>
      <c r="E27" s="153">
        <f>SUM(E24:E26)</f>
        <v>0</v>
      </c>
      <c r="F27" s="132"/>
      <c r="G27" s="154">
        <f>SUM(G24:G26)</f>
        <v>101997.1875</v>
      </c>
      <c r="H27" s="123">
        <f>IFERROR(G27/$G$48,0)</f>
        <v>0.20920354322633575</v>
      </c>
      <c r="I27" s="154">
        <f>SUM(I24:I26)</f>
        <v>324298.75000000006</v>
      </c>
      <c r="J27" s="123">
        <f>IFERROR(I27/$I$48,0)</f>
        <v>0.31799905619712815</v>
      </c>
      <c r="K27" s="154">
        <f>SUM(K24:K26)</f>
        <v>609367.81250000023</v>
      </c>
      <c r="L27" s="123">
        <f>IFERROR(K27/$K$48,0)</f>
        <v>0.36288633893611633</v>
      </c>
      <c r="M27" s="154">
        <f>SUM(M24:M26)</f>
        <v>957204.37500000023</v>
      </c>
      <c r="N27" s="123">
        <f>IFERROR(M27/$M$48,0)</f>
        <v>0.38860361438548086</v>
      </c>
      <c r="Q27" s="77"/>
    </row>
    <row r="28" spans="1:17" x14ac:dyDescent="0.25">
      <c r="A28" s="345"/>
      <c r="B28" s="77" t="s">
        <v>86</v>
      </c>
      <c r="E28" s="155"/>
      <c r="F28" s="132"/>
      <c r="G28" s="115"/>
      <c r="H28" s="132"/>
      <c r="I28" s="153"/>
      <c r="J28" s="132"/>
      <c r="K28" s="115"/>
      <c r="L28" s="132"/>
      <c r="M28" s="115"/>
      <c r="N28" s="132"/>
      <c r="Q28" s="77"/>
    </row>
    <row r="29" spans="1:17" x14ac:dyDescent="0.25">
      <c r="A29" s="345"/>
      <c r="C29" s="77" t="s">
        <v>149</v>
      </c>
      <c r="E29" s="223">
        <v>0</v>
      </c>
      <c r="F29" s="123">
        <f>IFERROR(E29/$E$48,0)</f>
        <v>0</v>
      </c>
      <c r="G29" s="154">
        <f>'Core Calculations'!B66+'Core Calculations'!B69</f>
        <v>198554.6875</v>
      </c>
      <c r="H29" s="123">
        <f>IFERROR(G29/$G$48,0)</f>
        <v>0.40724989744641577</v>
      </c>
      <c r="I29" s="154">
        <f>'Core Calculations'!C66+'Core Calculations'!C69</f>
        <v>286575.52083333331</v>
      </c>
      <c r="J29" s="123">
        <f>IFERROR(I29/$I$48,0)</f>
        <v>0.28100862292623824</v>
      </c>
      <c r="K29" s="154">
        <f>'Core Calculations'!D66+'Core Calculations'!D69</f>
        <v>384414.0625</v>
      </c>
      <c r="L29" s="123">
        <f>IFERROR(K29/$K$48,0)</f>
        <v>0.22892349893552075</v>
      </c>
      <c r="M29" s="154">
        <f>'Core Calculations'!E66+'Core Calculations'!E69</f>
        <v>490377.60416666674</v>
      </c>
      <c r="N29" s="123">
        <f>IFERROR(M29/$M$48,0)</f>
        <v>0.19908236356823933</v>
      </c>
      <c r="P29" s="156"/>
      <c r="Q29" s="77"/>
    </row>
    <row r="30" spans="1:17" s="78" customFormat="1" x14ac:dyDescent="0.25">
      <c r="A30" s="345"/>
      <c r="C30" s="78" t="s">
        <v>70</v>
      </c>
      <c r="E30" s="224">
        <v>0</v>
      </c>
      <c r="F30" s="123">
        <f>IFERROR(E30/$E$48,0)</f>
        <v>0</v>
      </c>
      <c r="G30" s="157">
        <f>'Core Calculations'!B68</f>
        <v>29493.75</v>
      </c>
      <c r="H30" s="123">
        <f>IFERROR(G30/$G$48,0)</f>
        <v>6.0493795508153009E-2</v>
      </c>
      <c r="I30" s="157">
        <f>'Core Calculations'!C68</f>
        <v>93775.000000000044</v>
      </c>
      <c r="J30" s="123">
        <f>IFERROR(I30/$I$48,0)</f>
        <v>9.1953365515240804E-2</v>
      </c>
      <c r="K30" s="157">
        <f>'Core Calculations'!D68</f>
        <v>176206.25000000012</v>
      </c>
      <c r="L30" s="123">
        <f>IFERROR(K30/$K$48,0)</f>
        <v>0.10493307924786735</v>
      </c>
      <c r="M30" s="157">
        <f>'Core Calculations'!E68</f>
        <v>276787.50000000012</v>
      </c>
      <c r="N30" s="123">
        <f>IFERROR(M30/$M$48,0)</f>
        <v>0.11236954795230779</v>
      </c>
      <c r="P30" s="158"/>
    </row>
    <row r="31" spans="1:17" x14ac:dyDescent="0.25">
      <c r="A31" s="345"/>
      <c r="C31" s="99" t="s">
        <v>37</v>
      </c>
      <c r="E31" s="91" t="s">
        <v>20</v>
      </c>
      <c r="F31" s="123"/>
      <c r="G31" s="152">
        <f>'Core Calculations'!B72</f>
        <v>0</v>
      </c>
      <c r="H31" s="123">
        <f>IFERROR(G31/$G$48,0)</f>
        <v>0</v>
      </c>
      <c r="I31" s="152">
        <f>'Core Calculations'!C72</f>
        <v>0</v>
      </c>
      <c r="J31" s="123">
        <f>IFERROR(I31/$I$48,0)</f>
        <v>0</v>
      </c>
      <c r="K31" s="152">
        <f>'Core Calculations'!D72</f>
        <v>0</v>
      </c>
      <c r="L31" s="123">
        <f>IFERROR(K31/$K$48,0)</f>
        <v>0</v>
      </c>
      <c r="M31" s="152">
        <f>'Core Calculations'!E72</f>
        <v>0</v>
      </c>
      <c r="N31" s="123">
        <f>IFERROR(M31/$M$48,0)</f>
        <v>0</v>
      </c>
      <c r="Q31" s="77"/>
    </row>
    <row r="32" spans="1:17" x14ac:dyDescent="0.25">
      <c r="A32" s="345"/>
      <c r="D32" s="115" t="s">
        <v>31</v>
      </c>
      <c r="E32" s="159">
        <f>SUM(E29:E31)</f>
        <v>0</v>
      </c>
      <c r="F32" s="123">
        <f>IFERROR(E32/$E$48,0)</f>
        <v>0</v>
      </c>
      <c r="G32" s="160">
        <f>SUM(G29:G31)</f>
        <v>228048.4375</v>
      </c>
      <c r="H32" s="123">
        <f>IFERROR(G32/$G$48,0)</f>
        <v>0.46774369295456875</v>
      </c>
      <c r="I32" s="160">
        <f>SUM(I29:I31)</f>
        <v>380350.52083333337</v>
      </c>
      <c r="J32" s="123">
        <f>IFERROR(I32/$I$48,0)</f>
        <v>0.3729619884414791</v>
      </c>
      <c r="K32" s="160">
        <f>SUM(K29:K31)</f>
        <v>560620.31250000012</v>
      </c>
      <c r="L32" s="123">
        <f>IFERROR(K32/$K$48,0)</f>
        <v>0.3338565781833881</v>
      </c>
      <c r="M32" s="160">
        <f>SUM(M29:M31)</f>
        <v>767165.10416666686</v>
      </c>
      <c r="N32" s="123">
        <f>IFERROR(M32/$M$48,0)</f>
        <v>0.31145191152054713</v>
      </c>
      <c r="Q32" s="77"/>
    </row>
    <row r="33" spans="1:17" hidden="1" x14ac:dyDescent="0.25">
      <c r="A33" s="345"/>
      <c r="E33" s="160"/>
      <c r="F33" s="132"/>
      <c r="G33" s="160"/>
      <c r="H33" s="161"/>
      <c r="I33" s="160"/>
      <c r="J33" s="161"/>
      <c r="K33" s="160"/>
      <c r="L33" s="161"/>
      <c r="M33" s="160"/>
      <c r="N33" s="161"/>
      <c r="Q33" s="77"/>
    </row>
    <row r="34" spans="1:17" hidden="1" x14ac:dyDescent="0.25">
      <c r="A34" s="345"/>
      <c r="D34" s="115" t="s">
        <v>154</v>
      </c>
      <c r="E34" s="148">
        <v>0</v>
      </c>
      <c r="F34" s="132"/>
      <c r="G34" s="162">
        <f>IFERROR(G29/$E$36,0)</f>
        <v>2.6473958333333334</v>
      </c>
      <c r="H34" s="163"/>
      <c r="I34" s="162">
        <f>IFERROR(I29/$E$36,0)</f>
        <v>3.8210069444444441</v>
      </c>
      <c r="J34" s="163"/>
      <c r="K34" s="162">
        <f>IFERROR(K29/$E$36,0)</f>
        <v>5.1255208333333337</v>
      </c>
      <c r="L34" s="163"/>
      <c r="M34" s="162">
        <f>IFERROR(M29/$E$36,0)</f>
        <v>6.5383680555555568</v>
      </c>
      <c r="N34" s="161"/>
      <c r="P34" s="164"/>
      <c r="Q34" s="77"/>
    </row>
    <row r="35" spans="1:17" hidden="1" x14ac:dyDescent="0.25">
      <c r="A35" s="345"/>
      <c r="D35" s="115" t="s">
        <v>155</v>
      </c>
      <c r="E35" s="148">
        <v>0</v>
      </c>
      <c r="G35" s="162">
        <f>IFERROR(G30/$E$37,0)</f>
        <v>0.49156250000000001</v>
      </c>
      <c r="H35" s="161"/>
      <c r="I35" s="162">
        <f>IFERROR(I30/$E$37,0)</f>
        <v>1.5629166666666674</v>
      </c>
      <c r="J35" s="161"/>
      <c r="K35" s="162">
        <f>IFERROR(K30/$E$37,0)</f>
        <v>2.9367708333333353</v>
      </c>
      <c r="L35" s="161"/>
      <c r="M35" s="162">
        <f>IFERROR(M30/$E$37,0)</f>
        <v>4.6131250000000019</v>
      </c>
      <c r="N35" s="161"/>
      <c r="P35" s="117"/>
      <c r="Q35" s="77"/>
    </row>
    <row r="36" spans="1:17" hidden="1" x14ac:dyDescent="0.25">
      <c r="A36" s="345"/>
      <c r="D36" s="115" t="s">
        <v>47</v>
      </c>
      <c r="E36" s="225">
        <f>'Key Variables'!C27</f>
        <v>75000</v>
      </c>
      <c r="F36" s="123" t="s">
        <v>40</v>
      </c>
      <c r="G36" s="160"/>
      <c r="H36" s="161"/>
      <c r="I36" s="160"/>
      <c r="J36" s="161"/>
      <c r="K36" s="160"/>
      <c r="L36" s="161"/>
      <c r="M36" s="160"/>
      <c r="N36" s="161"/>
      <c r="Q36" s="77"/>
    </row>
    <row r="37" spans="1:17" hidden="1" x14ac:dyDescent="0.25">
      <c r="A37" s="345"/>
      <c r="D37" s="115" t="s">
        <v>48</v>
      </c>
      <c r="E37" s="225">
        <f>'Key Variables'!C28</f>
        <v>60000</v>
      </c>
      <c r="F37" s="123" t="s">
        <v>40</v>
      </c>
      <c r="G37" s="160"/>
      <c r="H37" s="161"/>
      <c r="I37" s="160"/>
      <c r="J37" s="161"/>
      <c r="K37" s="160"/>
      <c r="L37" s="161"/>
      <c r="M37" s="160"/>
      <c r="N37" s="161"/>
      <c r="Q37" s="77"/>
    </row>
    <row r="38" spans="1:17" hidden="1" x14ac:dyDescent="0.25">
      <c r="A38" s="345"/>
      <c r="E38" s="154"/>
      <c r="F38" s="132"/>
      <c r="G38" s="117"/>
      <c r="H38" s="132"/>
      <c r="I38" s="154"/>
      <c r="J38" s="132"/>
      <c r="K38" s="154"/>
      <c r="L38" s="132"/>
      <c r="M38" s="154"/>
      <c r="N38" s="132"/>
      <c r="Q38" s="77"/>
    </row>
    <row r="39" spans="1:17" hidden="1" x14ac:dyDescent="0.25">
      <c r="A39" s="345"/>
      <c r="B39" s="77" t="s">
        <v>67</v>
      </c>
      <c r="E39" s="115"/>
      <c r="F39" s="132"/>
      <c r="G39" s="115"/>
      <c r="H39" s="132"/>
      <c r="I39" s="115"/>
      <c r="J39" s="132"/>
      <c r="K39" s="115"/>
      <c r="L39" s="132"/>
      <c r="M39" s="115"/>
      <c r="N39" s="132"/>
      <c r="Q39" s="77"/>
    </row>
    <row r="40" spans="1:17" hidden="1" x14ac:dyDescent="0.25">
      <c r="A40" s="345"/>
      <c r="C40" s="77" t="s">
        <v>66</v>
      </c>
      <c r="E40" s="221">
        <v>0</v>
      </c>
      <c r="F40" s="123">
        <f>IFERROR(E40/$E$48,0)</f>
        <v>0</v>
      </c>
      <c r="G40" s="165">
        <f>(1-$E$83)*G20</f>
        <v>0</v>
      </c>
      <c r="H40" s="123">
        <f>IFERROR(G40/$G$48,0)</f>
        <v>0</v>
      </c>
      <c r="I40" s="165">
        <f>(1-$E$83)*I20</f>
        <v>0</v>
      </c>
      <c r="J40" s="123">
        <f>IFERROR(I40/$I$48,0)</f>
        <v>0</v>
      </c>
      <c r="K40" s="165">
        <f>(1-$E$83)*K20</f>
        <v>0</v>
      </c>
      <c r="L40" s="123">
        <f>IFERROR(K40/$K$48,0)</f>
        <v>0</v>
      </c>
      <c r="M40" s="165">
        <f>(1-$E$83)*M20</f>
        <v>0</v>
      </c>
      <c r="N40" s="123">
        <f>IFERROR(M40/$M$48,0)</f>
        <v>0</v>
      </c>
      <c r="Q40" s="77"/>
    </row>
    <row r="41" spans="1:17" x14ac:dyDescent="0.25">
      <c r="E41" s="115"/>
      <c r="F41" s="132"/>
      <c r="G41" s="115"/>
      <c r="H41" s="132"/>
      <c r="I41" s="115"/>
      <c r="J41" s="132"/>
      <c r="K41" s="115"/>
      <c r="L41" s="132"/>
      <c r="M41" s="115"/>
      <c r="N41" s="132"/>
      <c r="Q41" s="77"/>
    </row>
    <row r="42" spans="1:17" ht="15.75" customHeight="1" x14ac:dyDescent="0.25">
      <c r="A42" s="345" t="s">
        <v>33</v>
      </c>
      <c r="B42" s="77" t="s">
        <v>14</v>
      </c>
      <c r="E42" s="117"/>
      <c r="F42" s="123"/>
      <c r="G42" s="166"/>
      <c r="H42" s="123"/>
      <c r="I42" s="166"/>
      <c r="J42" s="123"/>
      <c r="K42" s="166"/>
      <c r="L42" s="123"/>
      <c r="M42" s="166"/>
      <c r="N42" s="123"/>
      <c r="Q42" s="77"/>
    </row>
    <row r="43" spans="1:17" x14ac:dyDescent="0.25">
      <c r="A43" s="345"/>
      <c r="D43" s="77" t="s">
        <v>158</v>
      </c>
      <c r="E43" s="216">
        <v>0</v>
      </c>
      <c r="F43" s="123">
        <f>IFERROR(E43/$E$48,0)</f>
        <v>0</v>
      </c>
      <c r="G43" s="134">
        <f>($E$43+$E99)+'Key Variables'!G12</f>
        <v>146265</v>
      </c>
      <c r="H43" s="123">
        <f>IFERROR(G43/$G$48,0)</f>
        <v>0.3</v>
      </c>
      <c r="I43" s="134">
        <f>($E$43+($E99*2))+'Key Variables'!H12</f>
        <v>254952.60416666672</v>
      </c>
      <c r="J43" s="123">
        <f>IFERROR(I43/$I$48,0)</f>
        <v>0.25</v>
      </c>
      <c r="K43" s="134">
        <f>($E$43+($E99*3))+'Key Variables'!J12</f>
        <v>335845.00000000017</v>
      </c>
      <c r="L43" s="123">
        <f>IFERROR(K43/$K$48,0)</f>
        <v>0.2</v>
      </c>
      <c r="M43" s="134">
        <f>($E$43+($E99*4))+'Key Variables'!K12</f>
        <v>369478.43750000006</v>
      </c>
      <c r="N43" s="123">
        <f>IFERROR(M43/$M$48,0)</f>
        <v>0.15</v>
      </c>
      <c r="Q43" s="77"/>
    </row>
    <row r="44" spans="1:17" x14ac:dyDescent="0.25">
      <c r="A44" s="345"/>
      <c r="D44" s="77" t="s">
        <v>157</v>
      </c>
      <c r="E44" s="216">
        <v>0</v>
      </c>
      <c r="F44" s="123">
        <f>IFERROR(E44/$E$48,0)</f>
        <v>0</v>
      </c>
      <c r="G44" s="138">
        <f>'Key Variables'!G15+E44</f>
        <v>50000</v>
      </c>
      <c r="H44" s="123">
        <f>IFERROR(G44/$G$48,0)</f>
        <v>0.10255358424776946</v>
      </c>
      <c r="I44" s="138">
        <f>'Key Variables'!H15+E44</f>
        <v>50000</v>
      </c>
      <c r="J44" s="123">
        <f>IFERROR(I44/$I$48,0)</f>
        <v>4.9028720615964153E-2</v>
      </c>
      <c r="K44" s="138">
        <f>'Key Variables'!J15+E44</f>
        <v>50000</v>
      </c>
      <c r="L44" s="123">
        <f>IFERROR(K44/$K$48,0)</f>
        <v>2.9775640548467288E-2</v>
      </c>
      <c r="M44" s="138">
        <f>'Key Variables'!K15+E44</f>
        <v>50000</v>
      </c>
      <c r="N44" s="123">
        <f>IFERROR(M44/$M$48,0)</f>
        <v>2.0298884153422344E-2</v>
      </c>
      <c r="Q44" s="77"/>
    </row>
    <row r="45" spans="1:17" hidden="1" x14ac:dyDescent="0.25">
      <c r="A45" s="345"/>
      <c r="D45" s="77" t="s">
        <v>50</v>
      </c>
      <c r="E45" s="222">
        <v>0</v>
      </c>
      <c r="F45" s="123">
        <f>IFERROR(E45/$E$48,0)</f>
        <v>0</v>
      </c>
      <c r="G45" s="138">
        <f>E45+'"Fine Tune" Variables'!G4</f>
        <v>0</v>
      </c>
      <c r="H45" s="123">
        <f>IFERROR(G45/$G$48,0)</f>
        <v>0</v>
      </c>
      <c r="I45" s="138">
        <f>E45+'"Fine Tune" Variables'!H4</f>
        <v>0</v>
      </c>
      <c r="J45" s="123">
        <f>IFERROR(I45/$I$48,0)</f>
        <v>0</v>
      </c>
      <c r="K45" s="138">
        <f>E45+'"Fine Tune" Variables'!I4</f>
        <v>0</v>
      </c>
      <c r="L45" s="123">
        <f>IFERROR(K45/$K$48,0)</f>
        <v>0</v>
      </c>
      <c r="M45" s="138">
        <f>E45+'"Fine Tune" Variables'!J4</f>
        <v>0</v>
      </c>
      <c r="N45" s="123">
        <f>IFERROR(M45/$M$48,0)</f>
        <v>0</v>
      </c>
      <c r="Q45" s="77"/>
    </row>
    <row r="46" spans="1:17" x14ac:dyDescent="0.25">
      <c r="A46" s="345"/>
      <c r="D46" s="115" t="s">
        <v>15</v>
      </c>
      <c r="E46" s="110">
        <f>SUM(E43:E45)</f>
        <v>0</v>
      </c>
      <c r="F46" s="123">
        <f>IFERROR(E46/$E$48,0)</f>
        <v>0</v>
      </c>
      <c r="G46" s="116">
        <f>SUM(G43:G45)</f>
        <v>196265</v>
      </c>
      <c r="H46" s="123">
        <f>IFERROR(G46/$G$48,0)</f>
        <v>0.40255358424776944</v>
      </c>
      <c r="I46" s="116">
        <f>SUM(I43:I45)</f>
        <v>304952.60416666674</v>
      </c>
      <c r="J46" s="123">
        <f>IFERROR(I46/$I$48,0)</f>
        <v>0.29902872061596419</v>
      </c>
      <c r="K46" s="116">
        <f>SUM(K43:K45)</f>
        <v>385845.00000000017</v>
      </c>
      <c r="L46" s="123">
        <f>IFERROR(K46/$K$48,0)</f>
        <v>0.2297756405484673</v>
      </c>
      <c r="M46" s="116">
        <f>SUM(M43:M45)</f>
        <v>419478.43750000006</v>
      </c>
      <c r="N46" s="123">
        <f>IFERROR(M46/$M$48,0)</f>
        <v>0.17029888415342234</v>
      </c>
      <c r="Q46" s="77"/>
    </row>
    <row r="47" spans="1:17" x14ac:dyDescent="0.25">
      <c r="E47" s="117"/>
      <c r="F47" s="147"/>
      <c r="G47" s="117"/>
      <c r="H47" s="147"/>
      <c r="I47" s="117"/>
      <c r="J47" s="147"/>
      <c r="K47" s="117"/>
      <c r="L47" s="147"/>
      <c r="M47" s="117"/>
      <c r="N47" s="147"/>
      <c r="Q47" s="77"/>
    </row>
    <row r="48" spans="1:17" x14ac:dyDescent="0.25">
      <c r="B48" s="77" t="s">
        <v>0</v>
      </c>
      <c r="E48" s="110">
        <f>E7+E12+E20</f>
        <v>0</v>
      </c>
      <c r="F48" s="147"/>
      <c r="G48" s="116">
        <f>G7+G12+G20</f>
        <v>487550</v>
      </c>
      <c r="I48" s="116">
        <f>I7+I12+I20</f>
        <v>1019810.4166666669</v>
      </c>
      <c r="K48" s="116">
        <f>K7+K12+K20</f>
        <v>1679225.0000000007</v>
      </c>
      <c r="M48" s="116">
        <f>M7+M12+M20</f>
        <v>2463189.583333334</v>
      </c>
      <c r="N48" s="117"/>
      <c r="Q48" s="77"/>
    </row>
    <row r="49" spans="1:18" x14ac:dyDescent="0.25">
      <c r="B49" s="77" t="s">
        <v>1</v>
      </c>
      <c r="E49" s="110">
        <f>E27+E32+E40+E46</f>
        <v>0</v>
      </c>
      <c r="F49" s="147"/>
      <c r="G49" s="116">
        <f>G27+G32+G40+G46</f>
        <v>526310.625</v>
      </c>
      <c r="I49" s="116">
        <f>I27+I32+I40+I46</f>
        <v>1009601.8750000002</v>
      </c>
      <c r="K49" s="116">
        <f>K27+K32+K40+K46</f>
        <v>1555833.1250000007</v>
      </c>
      <c r="M49" s="116">
        <f>M27+M32+M40+M46</f>
        <v>2143847.916666667</v>
      </c>
      <c r="N49" s="117"/>
      <c r="Q49" s="77"/>
    </row>
    <row r="50" spans="1:18" x14ac:dyDescent="0.25">
      <c r="E50" s="117"/>
      <c r="G50" s="117"/>
      <c r="I50" s="117"/>
      <c r="K50" s="117"/>
      <c r="M50" s="116"/>
      <c r="Q50" s="77"/>
    </row>
    <row r="51" spans="1:18" x14ac:dyDescent="0.25">
      <c r="B51" s="77" t="s">
        <v>175</v>
      </c>
      <c r="E51" s="168">
        <f>E48-E49</f>
        <v>0</v>
      </c>
      <c r="F51" s="169"/>
      <c r="G51" s="170">
        <f>G48-G49</f>
        <v>-38760.625</v>
      </c>
      <c r="H51" s="169"/>
      <c r="I51" s="170">
        <f>I48-I49</f>
        <v>10208.541666666628</v>
      </c>
      <c r="J51" s="169"/>
      <c r="K51" s="170">
        <f>K48-K49</f>
        <v>123391.875</v>
      </c>
      <c r="L51" s="169"/>
      <c r="M51" s="170">
        <f>M48-M49</f>
        <v>319341.66666666698</v>
      </c>
      <c r="Q51" s="77"/>
    </row>
    <row r="52" spans="1:18" x14ac:dyDescent="0.25">
      <c r="G52" s="117"/>
    </row>
    <row r="53" spans="1:18" x14ac:dyDescent="0.25">
      <c r="B53" s="77" t="s">
        <v>176</v>
      </c>
      <c r="G53" s="123">
        <f>G51/G48</f>
        <v>-7.9500820428673985E-2</v>
      </c>
      <c r="I53" s="123">
        <f>I51/I48</f>
        <v>1.0010234745428543E-2</v>
      </c>
      <c r="K53" s="123">
        <f>K51/K48</f>
        <v>7.3481442332028135E-2</v>
      </c>
      <c r="M53" s="123">
        <f>M51/M48</f>
        <v>0.12964558994054973</v>
      </c>
    </row>
    <row r="54" spans="1:18" x14ac:dyDescent="0.25">
      <c r="G54" s="117"/>
    </row>
    <row r="55" spans="1:18" x14ac:dyDescent="0.25">
      <c r="B55" s="77" t="s">
        <v>166</v>
      </c>
      <c r="E55" s="171"/>
      <c r="F55" s="147"/>
      <c r="G55" s="123">
        <f>(G48-(G27+G32+G40))/G48</f>
        <v>0.32305276381909548</v>
      </c>
      <c r="I55" s="123">
        <f>(I48-(I27+I32+I40))/I48</f>
        <v>0.3090389553613927</v>
      </c>
      <c r="K55" s="123">
        <f>(K48-(K27+K32+K40))/K48</f>
        <v>0.30325708288049547</v>
      </c>
      <c r="M55" s="123">
        <f>(M48-(M27+M32+M40))/M48</f>
        <v>0.29994447409397207</v>
      </c>
      <c r="P55" s="99"/>
      <c r="Q55" s="118"/>
      <c r="R55" s="99"/>
    </row>
    <row r="56" spans="1:18" x14ac:dyDescent="0.25">
      <c r="F56" s="172"/>
      <c r="G56" s="173"/>
      <c r="H56" s="78"/>
      <c r="I56" s="173"/>
      <c r="K56" s="173"/>
      <c r="M56" s="173"/>
      <c r="N56" s="167"/>
      <c r="P56" s="99"/>
      <c r="Q56" s="118"/>
      <c r="R56" s="99"/>
    </row>
    <row r="57" spans="1:18" x14ac:dyDescent="0.25">
      <c r="D57" s="114"/>
      <c r="E57" s="124"/>
      <c r="F57" s="147"/>
      <c r="G57" s="116"/>
      <c r="I57" s="116"/>
      <c r="K57" s="116"/>
      <c r="M57" s="116"/>
      <c r="N57" s="167"/>
      <c r="P57" s="99"/>
      <c r="Q57" s="118"/>
      <c r="R57" s="99"/>
    </row>
    <row r="58" spans="1:18" ht="15" hidden="1" customHeight="1" x14ac:dyDescent="0.25">
      <c r="D58" s="115" t="s">
        <v>52</v>
      </c>
      <c r="E58" s="110">
        <f>IFERROR((#REF!+E9)/#REF!,0)</f>
        <v>0</v>
      </c>
      <c r="G58" s="116"/>
      <c r="I58" s="116"/>
      <c r="K58" s="116"/>
      <c r="M58" s="116"/>
      <c r="Q58" s="77"/>
    </row>
    <row r="59" spans="1:18" hidden="1" x14ac:dyDescent="0.25">
      <c r="D59" s="115" t="s">
        <v>51</v>
      </c>
      <c r="E59" s="174">
        <f>IFERROR((#REF!+E10)/12/#REF!,0)</f>
        <v>0</v>
      </c>
      <c r="G59" s="156"/>
      <c r="I59" s="156"/>
      <c r="K59" s="156"/>
      <c r="M59" s="156"/>
      <c r="N59" s="116"/>
      <c r="Q59" s="77"/>
    </row>
    <row r="60" spans="1:18" hidden="1" x14ac:dyDescent="0.25">
      <c r="E60" s="117"/>
    </row>
    <row r="61" spans="1:18" hidden="1" x14ac:dyDescent="0.25">
      <c r="A61" s="345" t="s">
        <v>39</v>
      </c>
      <c r="B61" s="175" t="s">
        <v>61</v>
      </c>
      <c r="C61" s="175"/>
      <c r="D61" s="175"/>
      <c r="E61" s="175"/>
      <c r="F61" s="175"/>
      <c r="G61" s="175"/>
    </row>
    <row r="62" spans="1:18" hidden="1" x14ac:dyDescent="0.25">
      <c r="A62" s="345"/>
      <c r="B62" s="175"/>
      <c r="C62" s="175" t="s">
        <v>69</v>
      </c>
      <c r="D62" s="175"/>
      <c r="E62" s="176">
        <f>IFERROR((1-(#REF!/#REF!)),0.4)</f>
        <v>0.4</v>
      </c>
      <c r="F62" s="175" t="s">
        <v>54</v>
      </c>
      <c r="G62" s="177"/>
      <c r="I62" s="137"/>
      <c r="Q62" s="77"/>
    </row>
    <row r="63" spans="1:18" hidden="1" x14ac:dyDescent="0.25">
      <c r="A63" s="345"/>
      <c r="B63" s="175"/>
      <c r="C63" s="175" t="s">
        <v>68</v>
      </c>
      <c r="D63" s="175"/>
      <c r="E63" s="176">
        <f>IFERROR((1-(#REF!/(#REF!))),0.45)</f>
        <v>0.45</v>
      </c>
      <c r="F63" s="175" t="s">
        <v>54</v>
      </c>
      <c r="G63" s="177"/>
      <c r="I63" s="137"/>
      <c r="Q63" s="77"/>
    </row>
    <row r="64" spans="1:18" hidden="1" x14ac:dyDescent="0.25">
      <c r="A64" s="345"/>
      <c r="B64" s="175"/>
      <c r="C64" s="175"/>
      <c r="D64" s="178"/>
      <c r="E64" s="179"/>
      <c r="F64" s="175"/>
      <c r="G64" s="175"/>
      <c r="Q64" s="77"/>
    </row>
    <row r="65" spans="1:17" hidden="1" x14ac:dyDescent="0.25">
      <c r="A65" s="345"/>
      <c r="B65" s="175" t="s">
        <v>60</v>
      </c>
      <c r="C65" s="175"/>
      <c r="D65" s="175"/>
      <c r="E65" s="179"/>
      <c r="F65" s="175"/>
      <c r="G65" s="175"/>
      <c r="Q65" s="77"/>
    </row>
    <row r="66" spans="1:17" hidden="1" x14ac:dyDescent="0.25">
      <c r="A66" s="345"/>
      <c r="B66" s="175"/>
      <c r="C66" s="175" t="s">
        <v>59</v>
      </c>
      <c r="D66" s="175"/>
      <c r="E66" s="180">
        <f>IFERROR((1-(#REF!/#REF!)),0)</f>
        <v>0</v>
      </c>
      <c r="F66" s="175" t="s">
        <v>54</v>
      </c>
      <c r="G66" s="175"/>
      <c r="Q66" s="77"/>
    </row>
    <row r="67" spans="1:17" hidden="1" x14ac:dyDescent="0.25">
      <c r="A67" s="345"/>
      <c r="B67" s="175"/>
      <c r="C67" s="175" t="s">
        <v>35</v>
      </c>
      <c r="D67" s="175"/>
      <c r="E67" s="180">
        <f>IFERROR((1-(#REF!/#REF!)),0.75)</f>
        <v>0.75</v>
      </c>
      <c r="F67" s="175" t="s">
        <v>54</v>
      </c>
      <c r="G67" s="181"/>
      <c r="H67" s="123"/>
      <c r="I67" s="123"/>
      <c r="Q67" s="77"/>
    </row>
    <row r="68" spans="1:17" hidden="1" x14ac:dyDescent="0.25">
      <c r="A68" s="345"/>
      <c r="B68" s="175"/>
      <c r="C68" s="175" t="s">
        <v>38</v>
      </c>
      <c r="D68" s="175"/>
      <c r="E68" s="176">
        <f>IFERROR((1-(#REF!/#REF!)),0.1)</f>
        <v>0.1</v>
      </c>
      <c r="F68" s="175" t="s">
        <v>54</v>
      </c>
      <c r="G68" s="177"/>
      <c r="H68" s="123"/>
      <c r="I68" s="123"/>
      <c r="Q68" s="77"/>
    </row>
    <row r="69" spans="1:17" hidden="1" x14ac:dyDescent="0.25">
      <c r="A69" s="345"/>
      <c r="B69" s="175"/>
      <c r="C69" s="175"/>
      <c r="D69" s="175"/>
      <c r="E69" s="176"/>
      <c r="F69" s="175"/>
      <c r="G69" s="177"/>
      <c r="H69" s="123"/>
      <c r="I69" s="123"/>
      <c r="Q69" s="77"/>
    </row>
    <row r="70" spans="1:17" hidden="1" x14ac:dyDescent="0.25">
      <c r="A70" s="345"/>
      <c r="B70" s="175" t="s">
        <v>84</v>
      </c>
      <c r="C70" s="175"/>
      <c r="D70" s="175"/>
      <c r="E70" s="182">
        <f>IFERROR(#REF!/#REF!,0)</f>
        <v>0</v>
      </c>
      <c r="F70" s="175"/>
      <c r="G70" s="177"/>
      <c r="H70" s="123"/>
      <c r="I70" s="123"/>
      <c r="Q70" s="77"/>
    </row>
    <row r="71" spans="1:17" hidden="1" x14ac:dyDescent="0.25">
      <c r="A71" s="345"/>
      <c r="B71" s="175"/>
      <c r="C71" s="175"/>
      <c r="D71" s="178"/>
      <c r="E71" s="179"/>
      <c r="F71" s="175"/>
      <c r="G71" s="175"/>
      <c r="Q71" s="77"/>
    </row>
    <row r="72" spans="1:17" hidden="1" x14ac:dyDescent="0.25">
      <c r="A72" s="345"/>
      <c r="B72" s="175" t="s">
        <v>34</v>
      </c>
      <c r="C72" s="175"/>
      <c r="D72" s="175"/>
      <c r="E72" s="179"/>
      <c r="F72" s="175"/>
      <c r="G72" s="175"/>
      <c r="Q72" s="77"/>
    </row>
    <row r="73" spans="1:17" hidden="1" x14ac:dyDescent="0.25">
      <c r="A73" s="345"/>
      <c r="B73" s="175"/>
      <c r="C73" s="175" t="s">
        <v>53</v>
      </c>
      <c r="D73" s="175"/>
      <c r="E73" s="176">
        <f>IFERROR((1-(E29/E9)),E62)</f>
        <v>0.4</v>
      </c>
      <c r="F73" s="175" t="s">
        <v>54</v>
      </c>
      <c r="G73" s="181"/>
      <c r="I73" s="123"/>
      <c r="K73" s="123"/>
      <c r="M73" s="123"/>
      <c r="Q73" s="77"/>
    </row>
    <row r="74" spans="1:17" hidden="1" x14ac:dyDescent="0.25">
      <c r="A74" s="345"/>
      <c r="B74" s="175"/>
      <c r="C74" s="175" t="s">
        <v>70</v>
      </c>
      <c r="D74" s="175"/>
      <c r="E74" s="176">
        <f>IFERROR((1-(E30/E10)),E63)</f>
        <v>0.45</v>
      </c>
      <c r="F74" s="175" t="s">
        <v>54</v>
      </c>
      <c r="G74" s="175"/>
      <c r="Q74" s="77"/>
    </row>
    <row r="75" spans="1:17" hidden="1" x14ac:dyDescent="0.25">
      <c r="A75" s="345"/>
      <c r="B75" s="175"/>
      <c r="C75" s="175"/>
      <c r="D75" s="175"/>
      <c r="E75" s="176"/>
      <c r="F75" s="175"/>
      <c r="G75" s="175"/>
      <c r="Q75" s="77"/>
    </row>
    <row r="76" spans="1:17" hidden="1" x14ac:dyDescent="0.25">
      <c r="A76" s="345"/>
      <c r="B76" s="175" t="s">
        <v>62</v>
      </c>
      <c r="C76" s="175"/>
      <c r="D76" s="175"/>
      <c r="E76" s="179"/>
      <c r="F76" s="175"/>
      <c r="G76" s="175"/>
      <c r="Q76" s="77"/>
    </row>
    <row r="77" spans="1:17" hidden="1" x14ac:dyDescent="0.25">
      <c r="A77" s="345"/>
      <c r="B77" s="175"/>
      <c r="C77" s="175" t="s">
        <v>64</v>
      </c>
      <c r="D77" s="175"/>
      <c r="E77" s="176">
        <f>IFERROR((1-(E24/E4)),0.2)</f>
        <v>0.2</v>
      </c>
      <c r="F77" s="175" t="s">
        <v>54</v>
      </c>
      <c r="G77" s="175"/>
      <c r="I77" s="137"/>
      <c r="K77" s="137"/>
      <c r="M77" s="137"/>
      <c r="Q77" s="77"/>
    </row>
    <row r="78" spans="1:17" hidden="1" x14ac:dyDescent="0.25">
      <c r="A78" s="345"/>
      <c r="B78" s="175"/>
      <c r="C78" s="175" t="s">
        <v>63</v>
      </c>
      <c r="D78" s="175"/>
      <c r="E78" s="176">
        <f>IFERROR((1-(E25/E5)),E67)</f>
        <v>0.75</v>
      </c>
      <c r="F78" s="175" t="s">
        <v>54</v>
      </c>
      <c r="G78" s="175"/>
      <c r="I78" s="137"/>
      <c r="K78" s="137"/>
      <c r="M78" s="137"/>
      <c r="Q78" s="77"/>
    </row>
    <row r="79" spans="1:17" hidden="1" x14ac:dyDescent="0.25">
      <c r="A79" s="345"/>
      <c r="B79" s="175"/>
      <c r="C79" s="175" t="s">
        <v>38</v>
      </c>
      <c r="D79" s="175"/>
      <c r="E79" s="176">
        <f>IFERROR((1-(E26/E6)),E68)</f>
        <v>0.1</v>
      </c>
      <c r="F79" s="175" t="s">
        <v>54</v>
      </c>
      <c r="G79" s="175"/>
      <c r="I79" s="137"/>
      <c r="K79" s="137"/>
      <c r="M79" s="137"/>
      <c r="Q79" s="77"/>
    </row>
    <row r="80" spans="1:17" hidden="1" x14ac:dyDescent="0.25">
      <c r="A80" s="345"/>
      <c r="B80" s="175"/>
      <c r="C80" s="175"/>
      <c r="D80" s="175"/>
      <c r="E80" s="176"/>
      <c r="F80" s="175"/>
      <c r="G80" s="175"/>
      <c r="I80" s="137"/>
      <c r="K80" s="137"/>
      <c r="M80" s="137"/>
      <c r="Q80" s="77"/>
    </row>
    <row r="81" spans="1:17" hidden="1" x14ac:dyDescent="0.25">
      <c r="A81" s="345"/>
      <c r="B81" s="175" t="s">
        <v>85</v>
      </c>
      <c r="C81" s="175"/>
      <c r="D81" s="175"/>
      <c r="E81" s="182">
        <f>IFERROR(E12/E7,0)</f>
        <v>0</v>
      </c>
      <c r="F81" s="175"/>
      <c r="G81" s="175"/>
      <c r="I81" s="137"/>
      <c r="K81" s="137"/>
      <c r="M81" s="137"/>
      <c r="Q81" s="77"/>
    </row>
    <row r="82" spans="1:17" hidden="1" x14ac:dyDescent="0.25">
      <c r="A82" s="345"/>
      <c r="B82" s="175"/>
      <c r="C82" s="175"/>
      <c r="D82" s="175"/>
      <c r="E82" s="179"/>
      <c r="F82" s="175"/>
      <c r="G82" s="175"/>
      <c r="I82" s="137"/>
      <c r="K82" s="137"/>
      <c r="M82" s="137"/>
      <c r="Q82" s="77"/>
    </row>
    <row r="83" spans="1:17" hidden="1" x14ac:dyDescent="0.25">
      <c r="A83" s="345"/>
      <c r="B83" s="175" t="s">
        <v>71</v>
      </c>
      <c r="C83" s="175"/>
      <c r="D83" s="175"/>
      <c r="E83" s="180">
        <f>IFERROR((1-(E40/E20)),0.1)</f>
        <v>0.1</v>
      </c>
      <c r="F83" s="175" t="s">
        <v>54</v>
      </c>
      <c r="G83" s="183"/>
      <c r="I83" s="149"/>
      <c r="K83" s="149"/>
      <c r="M83" s="149"/>
      <c r="Q83" s="77"/>
    </row>
    <row r="84" spans="1:17" hidden="1" x14ac:dyDescent="0.25">
      <c r="D84" s="115"/>
      <c r="Q84" s="77"/>
    </row>
    <row r="85" spans="1:17" hidden="1" x14ac:dyDescent="0.25"/>
    <row r="86" spans="1:17" hidden="1" x14ac:dyDescent="0.25"/>
    <row r="87" spans="1:17" hidden="1" x14ac:dyDescent="0.25">
      <c r="D87" s="115" t="s">
        <v>57</v>
      </c>
      <c r="E87" s="117" t="e">
        <f>#REF!+E12</f>
        <v>#REF!</v>
      </c>
      <c r="G87" s="117" t="e">
        <f>#REF!+G12-G11</f>
        <v>#REF!</v>
      </c>
      <c r="I87" s="117" t="e">
        <f>#REF!+I12-I11</f>
        <v>#REF!</v>
      </c>
      <c r="K87" s="117" t="e">
        <f>#REF!+K12-K11</f>
        <v>#REF!</v>
      </c>
      <c r="M87" s="117" t="e">
        <f>#REF!+M12-M11</f>
        <v>#REF!</v>
      </c>
    </row>
    <row r="88" spans="1:17" hidden="1" x14ac:dyDescent="0.25">
      <c r="D88" s="115" t="s">
        <v>32</v>
      </c>
      <c r="E88" s="116" t="e">
        <f>E32+#REF!</f>
        <v>#REF!</v>
      </c>
      <c r="G88" s="116" t="e">
        <f>G32+#REF!-G31</f>
        <v>#REF!</v>
      </c>
      <c r="I88" s="116" t="e">
        <f>I32+#REF!-I31</f>
        <v>#REF!</v>
      </c>
      <c r="K88" s="116" t="e">
        <f>K32+#REF!-K31</f>
        <v>#REF!</v>
      </c>
      <c r="M88" s="116" t="e">
        <f>M32+#REF!-M31</f>
        <v>#REF!</v>
      </c>
    </row>
    <row r="89" spans="1:17" hidden="1" x14ac:dyDescent="0.25">
      <c r="E89" s="106" t="s">
        <v>7</v>
      </c>
    </row>
    <row r="90" spans="1:17" hidden="1" x14ac:dyDescent="0.25"/>
    <row r="91" spans="1:17" hidden="1" x14ac:dyDescent="0.25">
      <c r="D91" s="115" t="s">
        <v>60</v>
      </c>
      <c r="E91" s="184">
        <f>IFERROR(#REF!/E48,0)</f>
        <v>0</v>
      </c>
    </row>
    <row r="92" spans="1:17" hidden="1" x14ac:dyDescent="0.25">
      <c r="D92" s="115" t="s">
        <v>61</v>
      </c>
      <c r="E92" s="184">
        <f>IFERROR(#REF!/E48,0)</f>
        <v>0</v>
      </c>
    </row>
    <row r="93" spans="1:17" hidden="1" x14ac:dyDescent="0.25">
      <c r="D93" s="115" t="s">
        <v>62</v>
      </c>
      <c r="E93" s="184">
        <f>IFERROR(E7/E48,0)</f>
        <v>0</v>
      </c>
    </row>
    <row r="94" spans="1:17" hidden="1" x14ac:dyDescent="0.25">
      <c r="D94" s="115" t="s">
        <v>34</v>
      </c>
      <c r="E94" s="184">
        <f>IFERROR(E12/E48,0)</f>
        <v>0</v>
      </c>
    </row>
    <row r="95" spans="1:17" hidden="1" x14ac:dyDescent="0.25">
      <c r="D95" s="115" t="s">
        <v>58</v>
      </c>
      <c r="E95" s="184">
        <f>IFERROR(E20/E48,0)</f>
        <v>0</v>
      </c>
    </row>
    <row r="96" spans="1:17" hidden="1" x14ac:dyDescent="0.25"/>
    <row r="97" spans="4:13" hidden="1" x14ac:dyDescent="0.25"/>
    <row r="98" spans="4:13" hidden="1" x14ac:dyDescent="0.25">
      <c r="D98" s="115" t="s">
        <v>93</v>
      </c>
      <c r="E98" s="116">
        <f>E43*($E$91+E92+$E$95)</f>
        <v>0</v>
      </c>
    </row>
    <row r="99" spans="4:13" hidden="1" x14ac:dyDescent="0.25">
      <c r="D99" s="115" t="s">
        <v>94</v>
      </c>
      <c r="E99" s="117">
        <f>'"Fine Tune" Variables'!$C$38*E98</f>
        <v>0</v>
      </c>
      <c r="F99" s="123">
        <f>IFERROR(-E99/E98,0)</f>
        <v>0</v>
      </c>
    </row>
    <row r="100" spans="4:13" hidden="1" x14ac:dyDescent="0.25"/>
    <row r="101" spans="4:13" hidden="1" x14ac:dyDescent="0.25">
      <c r="D101" s="115" t="s">
        <v>95</v>
      </c>
      <c r="E101" s="116" t="e">
        <f>#REF!*($E$91+E92+$E$95)</f>
        <v>#REF!</v>
      </c>
    </row>
    <row r="102" spans="4:13" hidden="1" x14ac:dyDescent="0.25">
      <c r="D102" s="115" t="s">
        <v>96</v>
      </c>
      <c r="E102" s="185" t="e">
        <f>'"Fine Tune" Variables'!$C$38*E101</f>
        <v>#REF!</v>
      </c>
      <c r="F102" s="123">
        <f>IFERROR(-E102/E101,0)</f>
        <v>0</v>
      </c>
    </row>
    <row r="103" spans="4:13" hidden="1" x14ac:dyDescent="0.25"/>
    <row r="104" spans="4:13" hidden="1" x14ac:dyDescent="0.25">
      <c r="D104" s="115" t="s">
        <v>97</v>
      </c>
      <c r="E104" s="117">
        <f>E45*'"Fine Tune" Variables'!C38</f>
        <v>0</v>
      </c>
    </row>
    <row r="105" spans="4:13" hidden="1" x14ac:dyDescent="0.25"/>
    <row r="106" spans="4:13" hidden="1" x14ac:dyDescent="0.25">
      <c r="G106" s="117">
        <f>E45+'"Fine Tune" Variables'!G4+(E104/2)</f>
        <v>0</v>
      </c>
      <c r="I106" s="117">
        <f>E45+'"Fine Tune" Variables'!H4+(E104)</f>
        <v>0</v>
      </c>
      <c r="K106" s="117">
        <f>E45+'"Fine Tune" Variables'!I4+(E104)</f>
        <v>0</v>
      </c>
      <c r="M106" s="117">
        <f>E45+'"Fine Tune" Variables'!J4+(E104)</f>
        <v>0</v>
      </c>
    </row>
    <row r="107" spans="4:13" hidden="1" x14ac:dyDescent="0.25"/>
    <row r="108" spans="4:13" hidden="1" x14ac:dyDescent="0.25">
      <c r="D108" s="115" t="s">
        <v>79</v>
      </c>
      <c r="E108" s="117" t="e">
        <f>#REF!+#REF!</f>
        <v>#REF!</v>
      </c>
      <c r="F108" s="117"/>
      <c r="G108" s="117" t="e">
        <f>#REF!+#REF!</f>
        <v>#REF!</v>
      </c>
      <c r="H108" s="117"/>
      <c r="I108" s="117" t="e">
        <f>#REF!+#REF!</f>
        <v>#REF!</v>
      </c>
      <c r="J108" s="117"/>
      <c r="K108" s="117" t="e">
        <f>#REF!+#REF!</f>
        <v>#REF!</v>
      </c>
      <c r="L108" s="117"/>
      <c r="M108" s="117" t="e">
        <f>#REF!+#REF!</f>
        <v>#REF!</v>
      </c>
    </row>
    <row r="109" spans="4:13" hidden="1" x14ac:dyDescent="0.25">
      <c r="D109" s="115" t="s">
        <v>55</v>
      </c>
      <c r="E109" s="116">
        <f>E7+E12</f>
        <v>0</v>
      </c>
      <c r="F109" s="116"/>
      <c r="G109" s="116">
        <f t="shared" ref="G109:M109" si="0">G7+G12</f>
        <v>487550</v>
      </c>
      <c r="H109" s="116"/>
      <c r="I109" s="116">
        <f t="shared" si="0"/>
        <v>1019810.4166666669</v>
      </c>
      <c r="J109" s="116"/>
      <c r="K109" s="116">
        <f t="shared" si="0"/>
        <v>1679225.0000000007</v>
      </c>
      <c r="L109" s="116"/>
      <c r="M109" s="116">
        <f t="shared" si="0"/>
        <v>2463189.583333334</v>
      </c>
    </row>
    <row r="110" spans="4:13" hidden="1" x14ac:dyDescent="0.25"/>
    <row r="111" spans="4:13" hidden="1" x14ac:dyDescent="0.25">
      <c r="D111" s="115" t="s">
        <v>79</v>
      </c>
      <c r="E111" s="117" t="e">
        <f>#REF!+#REF!</f>
        <v>#REF!</v>
      </c>
      <c r="G111" s="117" t="e">
        <f>#REF!+#REF!</f>
        <v>#REF!</v>
      </c>
      <c r="I111" s="117" t="e">
        <f>#REF!+#REF!</f>
        <v>#REF!</v>
      </c>
      <c r="K111" s="117" t="e">
        <f>#REF!+#REF!</f>
        <v>#REF!</v>
      </c>
      <c r="M111" s="117" t="e">
        <f>#REF!+#REF!</f>
        <v>#REF!</v>
      </c>
    </row>
    <row r="112" spans="4:13" hidden="1" x14ac:dyDescent="0.25">
      <c r="D112" s="115" t="s">
        <v>55</v>
      </c>
      <c r="E112" s="116">
        <f>E27+E32</f>
        <v>0</v>
      </c>
      <c r="G112" s="116">
        <f>G27+G32</f>
        <v>330045.625</v>
      </c>
      <c r="I112" s="116">
        <f>I27+I32</f>
        <v>704649.27083333349</v>
      </c>
      <c r="K112" s="116">
        <f>K27+K32</f>
        <v>1169988.1250000005</v>
      </c>
      <c r="M112" s="116">
        <f>M27+M32</f>
        <v>1724369.479166667</v>
      </c>
    </row>
    <row r="113" spans="4:13" hidden="1" x14ac:dyDescent="0.25"/>
    <row r="114" spans="4:13" hidden="1" x14ac:dyDescent="0.25"/>
    <row r="115" spans="4:13" hidden="1" x14ac:dyDescent="0.25">
      <c r="D115" s="115" t="s">
        <v>107</v>
      </c>
      <c r="E115" s="117" t="e">
        <f>E108+E109-E111-E112</f>
        <v>#REF!</v>
      </c>
      <c r="G115" s="117" t="e">
        <f>G108+G109-G111-G112</f>
        <v>#REF!</v>
      </c>
      <c r="I115" s="117" t="e">
        <f>I108+I109-I111-I112</f>
        <v>#REF!</v>
      </c>
      <c r="K115" s="117" t="e">
        <f>K108+K109-K111-K112</f>
        <v>#REF!</v>
      </c>
      <c r="M115" s="117" t="e">
        <f>M108+M109-M111-M112</f>
        <v>#REF!</v>
      </c>
    </row>
    <row r="116" spans="4:13" hidden="1" x14ac:dyDescent="0.25"/>
    <row r="117" spans="4:13" hidden="1" x14ac:dyDescent="0.25"/>
    <row r="121" spans="4:13" hidden="1" x14ac:dyDescent="0.25">
      <c r="J121" s="77" t="s">
        <v>104</v>
      </c>
      <c r="K121" s="77" t="s">
        <v>105</v>
      </c>
      <c r="L121" s="77" t="s">
        <v>106</v>
      </c>
      <c r="M121" s="137"/>
    </row>
    <row r="122" spans="4:13" hidden="1" x14ac:dyDescent="0.25">
      <c r="J122" s="77" t="s">
        <v>29</v>
      </c>
      <c r="K122" s="117">
        <f>G48*0.82</f>
        <v>399791</v>
      </c>
      <c r="L122" s="117">
        <f>G48*0.18</f>
        <v>87759</v>
      </c>
      <c r="M122" s="137"/>
    </row>
    <row r="123" spans="4:13" hidden="1" x14ac:dyDescent="0.25">
      <c r="J123" s="77" t="s">
        <v>30</v>
      </c>
      <c r="K123" s="117">
        <f>K122+M12</f>
        <v>1657468.0833333335</v>
      </c>
      <c r="L123" s="117">
        <f>L122+M7</f>
        <v>1293271.5000000002</v>
      </c>
    </row>
    <row r="124" spans="4:13" hidden="1" x14ac:dyDescent="0.25"/>
    <row r="125" spans="4:13" hidden="1" x14ac:dyDescent="0.25">
      <c r="K125" s="117">
        <v>3167250</v>
      </c>
      <c r="L125" s="117">
        <v>695250</v>
      </c>
      <c r="M125" s="117">
        <f>SUM(K125:L125)</f>
        <v>3862500</v>
      </c>
    </row>
    <row r="126" spans="4:13" hidden="1" x14ac:dyDescent="0.25">
      <c r="J126" s="123"/>
      <c r="K126" s="186">
        <v>3209750</v>
      </c>
      <c r="L126" s="186">
        <v>1524427.734375</v>
      </c>
      <c r="M126" s="117">
        <f>SUM(K126:L126)</f>
        <v>4734177.734375</v>
      </c>
    </row>
    <row r="127" spans="4:13" hidden="1" x14ac:dyDescent="0.25">
      <c r="J127" s="123"/>
      <c r="K127" s="123"/>
      <c r="L127" s="123"/>
      <c r="M127" s="123"/>
    </row>
    <row r="128" spans="4:13" hidden="1" x14ac:dyDescent="0.25">
      <c r="J128" s="123"/>
      <c r="K128" s="123">
        <f>K125/M125</f>
        <v>0.82</v>
      </c>
      <c r="L128" s="123">
        <f>L125/M125</f>
        <v>0.18</v>
      </c>
      <c r="M128" s="123"/>
    </row>
    <row r="129" spans="10:13" hidden="1" x14ac:dyDescent="0.25">
      <c r="J129" s="123"/>
      <c r="K129" s="123">
        <f>K126/M126</f>
        <v>0.67799524650160758</v>
      </c>
      <c r="L129" s="123">
        <f>L126/M126</f>
        <v>0.32200475349839247</v>
      </c>
      <c r="M129" s="123"/>
    </row>
  </sheetData>
  <sheetProtection algorithmName="SHA-512" hashValue="2fXzb50J12nsGLswcXUbN3pP7ZtKZw1wWErlp4ljyMEJHBzANftvBVYRIhSnfSP6lSyLCSwa8nfu4Z+eT0/o8w==" saltValue="CcP3Gupw7KdBwxMPC60NPg==" spinCount="100000" sheet="1" objects="1" scenarios="1"/>
  <mergeCells count="9">
    <mergeCell ref="A61:A83"/>
    <mergeCell ref="K1:L1"/>
    <mergeCell ref="M1:N1"/>
    <mergeCell ref="A42:A46"/>
    <mergeCell ref="E1:F1"/>
    <mergeCell ref="G1:H1"/>
    <mergeCell ref="I1:J1"/>
    <mergeCell ref="A3:A20"/>
    <mergeCell ref="A22:A40"/>
  </mergeCells>
  <pageMargins left="0.7" right="0.7" top="0.75" bottom="0.75" header="0.3" footer="0.3"/>
  <pageSetup scale="48" orientation="landscape" r:id="rId1"/>
  <ignoredErrors>
    <ignoredError sqref="F39:M39 F41:G41 F50:M51 F46:G46 F28:G28 F48:F49 H48:H49 J48:J49 L48:L49 F23 F19:M19 F52 H52:M52 F27 H23:M23 F42 K7 I7 G7 F7 H7 J7 L7 F12:L12 M31 K31 I31 H28:M28 H26:M27 H30 H32:M34 H31 J31 L31 E32:F35 F36:F37 M46 M40 K40 K46 I46 I40 H41:M41 H40 H42:M42 J40 H46 J46 L46 L40 H29 J29 L29 H25 J25 L25 J30 L30 H36:M37 H35 J35 L35 H44:M45 H43 J43 L43" formula="1"/>
    <ignoredError sqref="E41:E42 E21"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5:F43"/>
  <sheetViews>
    <sheetView showGridLines="0" zoomScale="70" zoomScaleNormal="70" workbookViewId="0">
      <selection activeCell="Y32" sqref="Y32"/>
    </sheetView>
  </sheetViews>
  <sheetFormatPr defaultColWidth="9.125" defaultRowHeight="16.5" x14ac:dyDescent="0.3"/>
  <cols>
    <col min="1" max="1" width="9.125" style="75"/>
    <col min="2" max="2" width="30" style="75" customWidth="1"/>
    <col min="3" max="16384" width="9.125" style="75"/>
  </cols>
  <sheetData>
    <row r="25" spans="4:4" x14ac:dyDescent="0.3">
      <c r="D25" s="187"/>
    </row>
    <row r="27" spans="4:4" s="74" customFormat="1" x14ac:dyDescent="0.3"/>
    <row r="37" spans="2:6" x14ac:dyDescent="0.3">
      <c r="C37" s="75">
        <v>1</v>
      </c>
      <c r="D37" s="75">
        <v>2</v>
      </c>
      <c r="E37" s="75">
        <v>3</v>
      </c>
      <c r="F37" s="75">
        <v>4</v>
      </c>
    </row>
    <row r="38" spans="2:6" x14ac:dyDescent="0.3">
      <c r="B38" s="188" t="s">
        <v>146</v>
      </c>
      <c r="C38" s="189">
        <f>'Core Calculations'!M19</f>
        <v>75</v>
      </c>
      <c r="D38" s="189">
        <f>'Core Calculations'!Y19</f>
        <v>175.00000000000003</v>
      </c>
      <c r="E38" s="189">
        <f>'Core Calculations'!AK19</f>
        <v>300.00000000000017</v>
      </c>
      <c r="F38" s="189">
        <f>'Core Calculations'!AW19</f>
        <v>450.00000000000023</v>
      </c>
    </row>
    <row r="39" spans="2:6" x14ac:dyDescent="0.3">
      <c r="B39" s="188" t="s">
        <v>91</v>
      </c>
      <c r="C39" s="189">
        <f>'Core Calculations'!M20</f>
        <v>0</v>
      </c>
      <c r="D39" s="189">
        <f>'Core Calculations'!Y20</f>
        <v>0</v>
      </c>
      <c r="E39" s="189">
        <f>'Core Calculations'!AK20</f>
        <v>0</v>
      </c>
      <c r="F39" s="189">
        <f>'Core Calculations'!AW20</f>
        <v>0</v>
      </c>
    </row>
    <row r="40" spans="2:6" x14ac:dyDescent="0.3">
      <c r="B40" s="188" t="s">
        <v>179</v>
      </c>
      <c r="C40" s="189">
        <f>'Core Calculations'!M21</f>
        <v>300</v>
      </c>
      <c r="D40" s="189">
        <f>'Core Calculations'!Y21</f>
        <v>700.00000000000011</v>
      </c>
      <c r="E40" s="189">
        <f>'Core Calculations'!AK21</f>
        <v>1200.0000000000007</v>
      </c>
      <c r="F40" s="189">
        <f>'Core Calculations'!AW21</f>
        <v>1800.0000000000009</v>
      </c>
    </row>
    <row r="41" spans="2:6" x14ac:dyDescent="0.3">
      <c r="B41" s="188" t="s">
        <v>92</v>
      </c>
      <c r="C41" s="189">
        <f>'Core Calculations'!M22</f>
        <v>150</v>
      </c>
      <c r="D41" s="189">
        <f>'Core Calculations'!Y22</f>
        <v>350.00000000000006</v>
      </c>
      <c r="E41" s="189">
        <f>'Core Calculations'!AK22</f>
        <v>600.00000000000034</v>
      </c>
      <c r="F41" s="189">
        <f>'Core Calculations'!AW22</f>
        <v>900.00000000000045</v>
      </c>
    </row>
    <row r="42" spans="2:6" x14ac:dyDescent="0.3">
      <c r="B42" s="188" t="s">
        <v>116</v>
      </c>
      <c r="C42" s="189">
        <f>'Core Calculations'!M24</f>
        <v>0</v>
      </c>
      <c r="D42" s="189">
        <f>'Core Calculations'!Y24</f>
        <v>0</v>
      </c>
      <c r="E42" s="189">
        <f>'Core Calculations'!AK24</f>
        <v>0</v>
      </c>
      <c r="F42" s="189">
        <f>'Core Calculations'!AW24</f>
        <v>0</v>
      </c>
    </row>
    <row r="43" spans="2:6" x14ac:dyDescent="0.3">
      <c r="B43" s="188"/>
      <c r="C43" s="189"/>
      <c r="D43" s="189"/>
      <c r="E43" s="189"/>
      <c r="F43" s="189"/>
    </row>
  </sheetData>
  <sheetProtection algorithmName="SHA-512" hashValue="Yk6YoTqq2VMCuxWm6cf/fnQoQByNHeU3YGhRqCKAlOvLJx8jt61Y4p86aNYmIEc362JMGxp4pFLS06IZ3VMG5Q==" saltValue="BvH9az/903QNRFDPlLUqEg=="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3:AX45"/>
  <sheetViews>
    <sheetView showGridLines="0" zoomScale="70" zoomScaleNormal="70" workbookViewId="0">
      <selection activeCell="J33" sqref="J33"/>
    </sheetView>
  </sheetViews>
  <sheetFormatPr defaultColWidth="9.125" defaultRowHeight="16.5" x14ac:dyDescent="0.3"/>
  <cols>
    <col min="1" max="9" width="9.125" style="75"/>
    <col min="10" max="10" width="25.625" style="75" customWidth="1"/>
    <col min="11" max="11" width="10.125" style="75" bestFit="1" customWidth="1"/>
    <col min="12" max="16384" width="9.125" style="75"/>
  </cols>
  <sheetData>
    <row r="33" spans="2:50" ht="20.25" x14ac:dyDescent="0.35">
      <c r="D33" s="76"/>
      <c r="E33" s="76"/>
      <c r="F33" s="76"/>
      <c r="G33" s="76"/>
      <c r="H33" s="76"/>
      <c r="I33" s="190" t="s">
        <v>150</v>
      </c>
      <c r="J33" s="191">
        <f>IF((-MIN('Core Calculations'!B54:AW54))&gt;0,(-MIN('Core Calculations'!B54:AW54)),0)</f>
        <v>51501.814236111131</v>
      </c>
    </row>
    <row r="45" spans="2:50" x14ac:dyDescent="0.3">
      <c r="B45" s="192" t="str">
        <f>'Core Calculations'!A54</f>
        <v>Monthly Cumulative Cash Flow</v>
      </c>
      <c r="C45" s="193">
        <f>'Core Calculations'!B54</f>
        <v>-6956.8229166666679</v>
      </c>
      <c r="D45" s="193">
        <f>'Core Calculations'!C54</f>
        <v>-13265.052083333336</v>
      </c>
      <c r="E45" s="193">
        <f>'Core Calculations'!D54</f>
        <v>-18924.687500000004</v>
      </c>
      <c r="F45" s="193">
        <f>'Core Calculations'!E54</f>
        <v>-23935.729166666672</v>
      </c>
      <c r="G45" s="193">
        <f>'Core Calculations'!F54</f>
        <v>-28298.177083333339</v>
      </c>
      <c r="H45" s="193">
        <f>'Core Calculations'!G54</f>
        <v>-32012.031250000007</v>
      </c>
      <c r="I45" s="193">
        <f>'Core Calculations'!H54</f>
        <v>-34986.145833333336</v>
      </c>
      <c r="J45" s="193">
        <f>'Core Calculations'!I54</f>
        <v>-37220.520833333343</v>
      </c>
      <c r="K45" s="193">
        <f>'Core Calculations'!J54</f>
        <v>-38715.156250000015</v>
      </c>
      <c r="L45" s="193">
        <f>'Core Calculations'!K54</f>
        <v>-39470.052083333343</v>
      </c>
      <c r="M45" s="193">
        <f>'Core Calculations'!L54</f>
        <v>-39485.208333333343</v>
      </c>
      <c r="N45" s="193">
        <f>'Core Calculations'!M54</f>
        <v>-38760.625000000015</v>
      </c>
      <c r="O45" s="193">
        <f>'Core Calculations'!N54</f>
        <v>-43220.737847222241</v>
      </c>
      <c r="P45" s="193">
        <f>'Core Calculations'!O54</f>
        <v>-46724.91319444446</v>
      </c>
      <c r="Q45" s="193">
        <f>'Core Calculations'!P54</f>
        <v>-49273.151041666679</v>
      </c>
      <c r="R45" s="193">
        <f>'Core Calculations'!Q54</f>
        <v>-50865.451388888912</v>
      </c>
      <c r="S45" s="193">
        <f>'Core Calculations'!R54</f>
        <v>-51501.814236111131</v>
      </c>
      <c r="T45" s="193">
        <f>'Core Calculations'!S54</f>
        <v>-51182.23958333335</v>
      </c>
      <c r="U45" s="193">
        <f>'Core Calculations'!T54</f>
        <v>-49876.345486111139</v>
      </c>
      <c r="V45" s="193">
        <f>'Core Calculations'!U54</f>
        <v>-47584.131944444453</v>
      </c>
      <c r="W45" s="193">
        <f>'Core Calculations'!V54</f>
        <v>-44305.598958333336</v>
      </c>
      <c r="X45" s="193">
        <f>'Core Calculations'!W54</f>
        <v>-40040.746527777788</v>
      </c>
      <c r="Y45" s="193">
        <f>'Core Calculations'!X54</f>
        <v>-34789.574652777788</v>
      </c>
      <c r="Z45" s="193">
        <f>'Core Calculations'!Y54</f>
        <v>-28552.083333333336</v>
      </c>
      <c r="AA45" s="193">
        <f>'Core Calculations'!Z54</f>
        <v>-24936.440972222226</v>
      </c>
      <c r="AB45" s="193">
        <f>'Core Calculations'!AA54</f>
        <v>-20118.281250000007</v>
      </c>
      <c r="AC45" s="193">
        <f>'Core Calculations'!AB54</f>
        <v>-14097.604166666679</v>
      </c>
      <c r="AD45" s="193">
        <f>'Core Calculations'!AC54</f>
        <v>-6874.4097222222554</v>
      </c>
      <c r="AE45" s="193">
        <f>'Core Calculations'!AD54</f>
        <v>1551.3020833332921</v>
      </c>
      <c r="AF45" s="193">
        <f>'Core Calculations'!AE54</f>
        <v>11179.531249999935</v>
      </c>
      <c r="AG45" s="193">
        <f>'Core Calculations'!AF54</f>
        <v>22040.659722222168</v>
      </c>
      <c r="AH45" s="193">
        <f>'Core Calculations'!AG54</f>
        <v>34134.687499999935</v>
      </c>
      <c r="AI45" s="193">
        <f>'Core Calculations'!AH54</f>
        <v>47461.614583333263</v>
      </c>
      <c r="AJ45" s="193">
        <f>'Core Calculations'!AI54</f>
        <v>62021.440972222154</v>
      </c>
      <c r="AK45" s="193">
        <f>'Core Calculations'!AJ54</f>
        <v>77814.166666666599</v>
      </c>
      <c r="AL45" s="193">
        <f>'Core Calculations'!AK54</f>
        <v>94839.791666666599</v>
      </c>
      <c r="AM45" s="193">
        <f>'Core Calculations'!AL54</f>
        <v>113428.39409722216</v>
      </c>
      <c r="AN45" s="193">
        <f>'Core Calculations'!AM54</f>
        <v>133466.09374999994</v>
      </c>
      <c r="AO45" s="193">
        <f>'Core Calculations'!AN54</f>
        <v>154952.89062499994</v>
      </c>
      <c r="AP45" s="193">
        <f>'Core Calculations'!AO54</f>
        <v>177888.78472222216</v>
      </c>
      <c r="AQ45" s="193">
        <f>'Core Calculations'!AP54</f>
        <v>202273.7760416666</v>
      </c>
      <c r="AR45" s="193">
        <f>'Core Calculations'!AQ54</f>
        <v>228107.86458333326</v>
      </c>
      <c r="AS45" s="193">
        <f>'Core Calculations'!AR54</f>
        <v>255421.43229166657</v>
      </c>
      <c r="AT45" s="193">
        <f>'Core Calculations'!AS54</f>
        <v>284214.47916666657</v>
      </c>
      <c r="AU45" s="193">
        <f>'Core Calculations'!AT54</f>
        <v>314487.00520833326</v>
      </c>
      <c r="AV45" s="193">
        <f>'Core Calculations'!AU54</f>
        <v>346239.01041666663</v>
      </c>
      <c r="AW45" s="193">
        <f>'Core Calculations'!AV54</f>
        <v>379470.49479166663</v>
      </c>
      <c r="AX45" s="193">
        <f>'Core Calculations'!AW54</f>
        <v>414181.45833333331</v>
      </c>
    </row>
  </sheetData>
  <sheetProtection algorithmName="SHA-512" hashValue="tolpK0gL30uncWqXsGUfWlJeGBNu/xU2UL34QabvN4iwgMZeczFedOiJGQ4ITjGJaKVsP8xS52yS4Bfve/ESpQ==" saltValue="BbkV/coqzRi80+SsRU8TZQ==" spinCount="100000" sheet="1" objects="1" scenarios="1"/>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5:F41"/>
  <sheetViews>
    <sheetView showGridLines="0" zoomScale="80" zoomScaleNormal="80" workbookViewId="0">
      <selection activeCell="S18" sqref="S18"/>
    </sheetView>
  </sheetViews>
  <sheetFormatPr defaultColWidth="9.125" defaultRowHeight="16.5" x14ac:dyDescent="0.3"/>
  <cols>
    <col min="1" max="1" width="9.125" style="75"/>
    <col min="2" max="2" width="23.625" style="75" bestFit="1" customWidth="1"/>
    <col min="3" max="7" width="12.75" style="75" customWidth="1"/>
    <col min="8" max="16384" width="9.125" style="75"/>
  </cols>
  <sheetData>
    <row r="35" spans="2:6" x14ac:dyDescent="0.3">
      <c r="C35" s="75">
        <v>1</v>
      </c>
      <c r="D35" s="75">
        <v>2</v>
      </c>
      <c r="E35" s="75">
        <v>3</v>
      </c>
      <c r="F35" s="75">
        <v>4</v>
      </c>
    </row>
    <row r="36" spans="2:6" x14ac:dyDescent="0.3">
      <c r="B36" s="75" t="s">
        <v>147</v>
      </c>
      <c r="C36" s="187">
        <f>'P&amp;L Detail'!G34</f>
        <v>2.6473958333333334</v>
      </c>
      <c r="D36" s="187">
        <f>'P&amp;L Detail'!I34</f>
        <v>3.8210069444444441</v>
      </c>
      <c r="E36" s="187">
        <f>'P&amp;L Detail'!K34</f>
        <v>5.1255208333333337</v>
      </c>
      <c r="F36" s="187">
        <f>'P&amp;L Detail'!M34</f>
        <v>6.5383680555555568</v>
      </c>
    </row>
    <row r="37" spans="2:6" x14ac:dyDescent="0.3">
      <c r="B37" s="75" t="s">
        <v>92</v>
      </c>
      <c r="C37" s="187">
        <f>'P&amp;L Detail'!G35</f>
        <v>0.49156250000000001</v>
      </c>
      <c r="D37" s="187">
        <f>'P&amp;L Detail'!I35</f>
        <v>1.5629166666666674</v>
      </c>
      <c r="E37" s="187">
        <f>'P&amp;L Detail'!K35</f>
        <v>2.9367708333333353</v>
      </c>
      <c r="F37" s="187">
        <f>'P&amp;L Detail'!M35</f>
        <v>4.6131250000000019</v>
      </c>
    </row>
    <row r="38" spans="2:6" x14ac:dyDescent="0.3">
      <c r="B38" s="75" t="s">
        <v>183</v>
      </c>
      <c r="C38" s="187">
        <f>'Key Variables'!G12/'Key Variables'!$G$26</f>
        <v>2.250230769230769</v>
      </c>
      <c r="D38" s="187">
        <f>'Key Variables'!H12/'Key Variables'!$G$26</f>
        <v>3.9223477564102573</v>
      </c>
      <c r="E38" s="187">
        <f>'Key Variables'!J12/'Key Variables'!$G$26</f>
        <v>5.1668461538461568</v>
      </c>
      <c r="F38" s="187">
        <f>'Key Variables'!K12/'Key Variables'!$G$26</f>
        <v>5.6842836538461547</v>
      </c>
    </row>
    <row r="40" spans="2:6" x14ac:dyDescent="0.3">
      <c r="C40" s="75" t="s">
        <v>182</v>
      </c>
    </row>
    <row r="41" spans="2:6" x14ac:dyDescent="0.3">
      <c r="C41" s="75">
        <v>1</v>
      </c>
      <c r="D41" s="75">
        <v>2</v>
      </c>
      <c r="E41" s="75">
        <v>3</v>
      </c>
      <c r="F41" s="75">
        <v>4</v>
      </c>
    </row>
  </sheetData>
  <sheetProtection algorithmName="SHA-512" hashValue="6p5eiWhmGK05WknjXDoTdVQqLg8fTwx8zO+eCe5FpkVNYgzOUMBn/RUqhqKO5KOOy4yW8BT35UghZB+xHHqSKA==" saltValue="wqwGwYS/YmqkF2aM2GUpOA==" spinCount="100000" sheet="1" objects="1" scenarios="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B1:T44"/>
  <sheetViews>
    <sheetView showGridLines="0" topLeftCell="A45" zoomScale="80" zoomScaleNormal="80" workbookViewId="0">
      <selection activeCell="I59" sqref="I59"/>
    </sheetView>
  </sheetViews>
  <sheetFormatPr defaultColWidth="9.125" defaultRowHeight="15" x14ac:dyDescent="0.25"/>
  <cols>
    <col min="1" max="1" width="2.625" style="11" customWidth="1"/>
    <col min="2" max="2" width="51.25" style="11" bestFit="1" customWidth="1"/>
    <col min="3" max="3" width="12.75" style="11" customWidth="1"/>
    <col min="4" max="4" width="29.75" style="11" customWidth="1"/>
    <col min="5" max="5" width="7.375" style="11" customWidth="1"/>
    <col min="6" max="6" width="39.625" style="11" customWidth="1"/>
    <col min="7" max="11" width="13.625" style="11" customWidth="1"/>
    <col min="12" max="16384" width="9.125" style="11"/>
  </cols>
  <sheetData>
    <row r="1" spans="2:10" ht="26.1" customHeight="1" x14ac:dyDescent="0.25"/>
    <row r="2" spans="2:10" ht="22.5" hidden="1" customHeight="1" x14ac:dyDescent="0.25">
      <c r="B2" s="356" t="s">
        <v>99</v>
      </c>
      <c r="C2" s="357"/>
      <c r="D2" s="358"/>
    </row>
    <row r="3" spans="2:10" ht="14.45" hidden="1" customHeight="1" x14ac:dyDescent="0.25">
      <c r="B3" s="359" t="s">
        <v>101</v>
      </c>
      <c r="C3" s="360"/>
      <c r="D3" s="361"/>
      <c r="F3" s="349" t="s">
        <v>56</v>
      </c>
      <c r="G3" s="24" t="s">
        <v>24</v>
      </c>
      <c r="H3" s="24" t="s">
        <v>11</v>
      </c>
      <c r="I3" s="24" t="s">
        <v>12</v>
      </c>
      <c r="J3" s="25" t="s">
        <v>13</v>
      </c>
    </row>
    <row r="4" spans="2:10" ht="14.45" hidden="1" customHeight="1" x14ac:dyDescent="0.25">
      <c r="B4" s="362"/>
      <c r="C4" s="363"/>
      <c r="D4" s="364"/>
      <c r="F4" s="350"/>
      <c r="G4" s="47">
        <v>0</v>
      </c>
      <c r="H4" s="47">
        <v>0</v>
      </c>
      <c r="I4" s="47">
        <v>0</v>
      </c>
      <c r="J4" s="48">
        <v>0</v>
      </c>
    </row>
    <row r="5" spans="2:10" ht="14.45" hidden="1" customHeight="1" x14ac:dyDescent="0.25">
      <c r="B5" s="14" t="s">
        <v>75</v>
      </c>
      <c r="C5" s="53">
        <v>0</v>
      </c>
      <c r="D5" s="17" t="s">
        <v>10</v>
      </c>
    </row>
    <row r="6" spans="2:10" ht="14.45" hidden="1" customHeight="1" x14ac:dyDescent="0.25">
      <c r="B6" s="12" t="s">
        <v>108</v>
      </c>
      <c r="C6" s="45">
        <v>0</v>
      </c>
      <c r="D6" s="40" t="s">
        <v>109</v>
      </c>
      <c r="F6" s="348"/>
      <c r="G6" s="348"/>
      <c r="H6" s="348"/>
      <c r="I6" s="348"/>
      <c r="J6" s="348"/>
    </row>
    <row r="7" spans="2:10" ht="14.45" hidden="1" customHeight="1" x14ac:dyDescent="0.25">
      <c r="B7" s="16" t="s">
        <v>76</v>
      </c>
      <c r="C7" s="46">
        <f>C6*0.2</f>
        <v>0</v>
      </c>
      <c r="D7" s="18" t="s">
        <v>28</v>
      </c>
      <c r="F7" s="59"/>
      <c r="G7" s="59"/>
      <c r="H7" s="59"/>
      <c r="I7" s="59"/>
      <c r="J7" s="59"/>
    </row>
    <row r="8" spans="2:10" ht="14.45" hidden="1" customHeight="1" x14ac:dyDescent="0.25"/>
    <row r="9" spans="2:10" ht="17.100000000000001" hidden="1" customHeight="1" x14ac:dyDescent="0.25">
      <c r="B9" s="359" t="s">
        <v>102</v>
      </c>
      <c r="C9" s="360"/>
      <c r="D9" s="361"/>
      <c r="F9" s="33" t="s">
        <v>90</v>
      </c>
      <c r="G9" s="62">
        <v>0</v>
      </c>
      <c r="I9" s="351" t="s">
        <v>115</v>
      </c>
      <c r="J9" s="352"/>
    </row>
    <row r="10" spans="2:10" ht="16.5" hidden="1" customHeight="1" x14ac:dyDescent="0.25">
      <c r="B10" s="362"/>
      <c r="C10" s="363"/>
      <c r="D10" s="364"/>
      <c r="I10" s="353"/>
      <c r="J10" s="354"/>
    </row>
    <row r="11" spans="2:10" ht="15" hidden="1" customHeight="1" x14ac:dyDescent="0.25">
      <c r="B11" s="14" t="s">
        <v>75</v>
      </c>
      <c r="C11" s="45">
        <v>0</v>
      </c>
      <c r="D11" s="17" t="s">
        <v>10</v>
      </c>
      <c r="I11" s="26" t="s">
        <v>6</v>
      </c>
      <c r="J11" s="31" t="s">
        <v>18</v>
      </c>
    </row>
    <row r="12" spans="2:10" ht="14.45" hidden="1" customHeight="1" x14ac:dyDescent="0.3">
      <c r="B12" s="12" t="s">
        <v>108</v>
      </c>
      <c r="C12" s="45">
        <f>C6/2</f>
        <v>0</v>
      </c>
      <c r="D12" s="40" t="s">
        <v>109</v>
      </c>
      <c r="G12" s="355" t="s">
        <v>167</v>
      </c>
      <c r="H12" s="355"/>
      <c r="I12" s="70">
        <v>0.23</v>
      </c>
      <c r="J12" s="70">
        <v>0.04</v>
      </c>
    </row>
    <row r="13" spans="2:10" ht="14.45" hidden="1" customHeight="1" x14ac:dyDescent="0.3">
      <c r="B13" s="16" t="s">
        <v>76</v>
      </c>
      <c r="C13" s="46">
        <f>C12*0.2</f>
        <v>0</v>
      </c>
      <c r="D13" s="18" t="s">
        <v>28</v>
      </c>
      <c r="G13" s="355" t="s">
        <v>168</v>
      </c>
      <c r="H13" s="355"/>
      <c r="J13" s="70" t="s">
        <v>20</v>
      </c>
    </row>
    <row r="14" spans="2:10" ht="14.45" hidden="1" customHeight="1" x14ac:dyDescent="0.3">
      <c r="G14" s="355" t="s">
        <v>169</v>
      </c>
      <c r="H14" s="355"/>
      <c r="J14" s="70" t="s">
        <v>20</v>
      </c>
    </row>
    <row r="15" spans="2:10" ht="14.45" hidden="1" customHeight="1" x14ac:dyDescent="0.3">
      <c r="B15" s="66" t="s">
        <v>42</v>
      </c>
      <c r="C15" s="67"/>
      <c r="D15" s="68"/>
      <c r="G15" s="355" t="s">
        <v>170</v>
      </c>
      <c r="H15" s="355"/>
      <c r="I15" s="70">
        <v>0.04</v>
      </c>
      <c r="J15" s="70"/>
    </row>
    <row r="16" spans="2:10" ht="14.45" hidden="1" customHeight="1" x14ac:dyDescent="0.25">
      <c r="D16" s="18" t="s">
        <v>9</v>
      </c>
    </row>
    <row r="17" spans="2:20" ht="14.45" hidden="1" customHeight="1" x14ac:dyDescent="0.25"/>
    <row r="18" spans="2:20" ht="14.45" hidden="1" customHeight="1" x14ac:dyDescent="0.25">
      <c r="B18" s="63" t="s">
        <v>72</v>
      </c>
      <c r="C18" s="64"/>
      <c r="D18" s="65"/>
    </row>
    <row r="19" spans="2:20" ht="14.45" hidden="1" customHeight="1" x14ac:dyDescent="0.25">
      <c r="D19" s="41" t="s">
        <v>100</v>
      </c>
    </row>
    <row r="20" spans="2:20" ht="14.45" hidden="1" customHeight="1" x14ac:dyDescent="0.25">
      <c r="D20" s="41" t="s">
        <v>100</v>
      </c>
      <c r="G20" s="20" t="s">
        <v>24</v>
      </c>
      <c r="H20" s="20" t="s">
        <v>11</v>
      </c>
      <c r="I20" s="20" t="s">
        <v>12</v>
      </c>
      <c r="J20" s="20" t="s">
        <v>13</v>
      </c>
    </row>
    <row r="21" spans="2:20" ht="14.45" hidden="1" customHeight="1" x14ac:dyDescent="0.25">
      <c r="D21" s="40" t="s">
        <v>9</v>
      </c>
      <c r="F21" s="28" t="s">
        <v>153</v>
      </c>
      <c r="G21" s="49">
        <f>'P&amp;L Detail'!G48</f>
        <v>487550</v>
      </c>
      <c r="H21" s="49">
        <f>'P&amp;L Detail'!I48</f>
        <v>1019810.4166666669</v>
      </c>
      <c r="I21" s="49">
        <f>'P&amp;L Detail'!K48</f>
        <v>1679225.0000000007</v>
      </c>
      <c r="J21" s="49">
        <f>'P&amp;L Detail'!M48</f>
        <v>2463189.583333334</v>
      </c>
    </row>
    <row r="22" spans="2:20" ht="14.45" hidden="1" customHeight="1" x14ac:dyDescent="0.25">
      <c r="D22" s="40" t="s">
        <v>9</v>
      </c>
      <c r="F22" s="32" t="s">
        <v>2</v>
      </c>
      <c r="G22" s="49">
        <f>'P&amp;L Detail'!G51</f>
        <v>-38760.625</v>
      </c>
      <c r="H22" s="49">
        <f>'P&amp;L Detail'!I51</f>
        <v>10208.541666666628</v>
      </c>
      <c r="I22" s="49">
        <f>'P&amp;L Detail'!K51</f>
        <v>123391.875</v>
      </c>
      <c r="J22" s="49">
        <f>'P&amp;L Detail'!M51</f>
        <v>319341.66666666698</v>
      </c>
    </row>
    <row r="23" spans="2:20" ht="14.45" hidden="1" customHeight="1" x14ac:dyDescent="0.25">
      <c r="D23" s="13" t="s">
        <v>140</v>
      </c>
      <c r="F23" s="72"/>
      <c r="G23" s="73"/>
      <c r="H23" s="73"/>
      <c r="I23" s="73"/>
      <c r="J23" s="73"/>
    </row>
    <row r="24" spans="2:20" ht="14.45" hidden="1" customHeight="1" x14ac:dyDescent="0.25">
      <c r="L24" s="29"/>
      <c r="N24" s="29"/>
      <c r="P24" s="29"/>
      <c r="Q24" s="29"/>
      <c r="R24" s="30"/>
      <c r="S24" s="30"/>
    </row>
    <row r="25" spans="2:20" ht="14.45" hidden="1" customHeight="1" x14ac:dyDescent="0.25">
      <c r="L25" s="30"/>
      <c r="N25" s="30"/>
      <c r="P25" s="30"/>
      <c r="Q25" s="30"/>
      <c r="R25" s="30"/>
      <c r="S25" s="30"/>
      <c r="T25" s="30"/>
    </row>
    <row r="26" spans="2:20" ht="14.45" hidden="1" customHeight="1" x14ac:dyDescent="0.25">
      <c r="G26" s="42"/>
      <c r="H26" s="43"/>
      <c r="I26" s="44" t="s">
        <v>148</v>
      </c>
      <c r="J26" s="50">
        <f>'Key Variables'!K23</f>
        <v>2769927.3437499995</v>
      </c>
    </row>
    <row r="27" spans="2:20" ht="14.45" hidden="1" customHeight="1" x14ac:dyDescent="0.25"/>
    <row r="28" spans="2:20" ht="14.45" hidden="1" customHeight="1" x14ac:dyDescent="0.25"/>
    <row r="29" spans="2:20" ht="14.45" hidden="1" customHeight="1" x14ac:dyDescent="0.25">
      <c r="B29" s="19" t="s">
        <v>151</v>
      </c>
      <c r="C29" s="29">
        <f>IFERROR(('Key Variables'!C13+(('Key Variables'!C15)*'Key Variables'!C84*12)),0)</f>
        <v>20840</v>
      </c>
    </row>
    <row r="30" spans="2:20" ht="14.45" hidden="1" customHeight="1" x14ac:dyDescent="0.25">
      <c r="B30" s="19" t="s">
        <v>103</v>
      </c>
      <c r="C30" s="29">
        <f>C29</f>
        <v>20840</v>
      </c>
    </row>
    <row r="31" spans="2:20" ht="17.100000000000001" hidden="1" customHeight="1" x14ac:dyDescent="0.25"/>
    <row r="32" spans="2:20" ht="16.5" hidden="1" customHeight="1" x14ac:dyDescent="0.25"/>
    <row r="33" spans="2:10" ht="14.45" hidden="1" customHeight="1" x14ac:dyDescent="0.25"/>
    <row r="34" spans="2:10" ht="14.45" hidden="1" customHeight="1" x14ac:dyDescent="0.25"/>
    <row r="35" spans="2:10" ht="14.45" hidden="1" customHeight="1" x14ac:dyDescent="0.25">
      <c r="E35" s="34"/>
    </row>
    <row r="36" spans="2:10" ht="14.45" hidden="1" customHeight="1" x14ac:dyDescent="0.25">
      <c r="E36" s="23"/>
    </row>
    <row r="37" spans="2:10" ht="14.45" hidden="1" customHeight="1" x14ac:dyDescent="0.25">
      <c r="B37" s="347" t="s">
        <v>78</v>
      </c>
      <c r="C37" s="347"/>
      <c r="D37" s="347"/>
      <c r="E37" s="23"/>
    </row>
    <row r="38" spans="2:10" ht="14.45" hidden="1" customHeight="1" x14ac:dyDescent="0.25">
      <c r="B38" s="69" t="s">
        <v>79</v>
      </c>
      <c r="C38" s="70">
        <v>0</v>
      </c>
      <c r="D38" s="15" t="s">
        <v>8</v>
      </c>
    </row>
    <row r="39" spans="2:10" ht="14.45" hidden="1" customHeight="1" x14ac:dyDescent="0.25">
      <c r="B39" s="71" t="s">
        <v>83</v>
      </c>
      <c r="C39" s="70">
        <v>0</v>
      </c>
      <c r="D39" s="15" t="s">
        <v>8</v>
      </c>
    </row>
    <row r="40" spans="2:10" ht="14.45" hidden="1" customHeight="1" x14ac:dyDescent="0.25"/>
    <row r="41" spans="2:10" ht="16.5" hidden="1" customHeight="1" x14ac:dyDescent="0.3">
      <c r="F41" s="33" t="s">
        <v>113</v>
      </c>
      <c r="G41" s="35">
        <f>G9</f>
        <v>0</v>
      </c>
      <c r="I41" s="55"/>
      <c r="J41" s="55"/>
    </row>
    <row r="42" spans="2:10" ht="14.45" hidden="1" customHeight="1" x14ac:dyDescent="0.25"/>
    <row r="43" spans="2:10" ht="14.45" hidden="1" customHeight="1" x14ac:dyDescent="0.25"/>
    <row r="44" spans="2:10" hidden="1" x14ac:dyDescent="0.25"/>
  </sheetData>
  <sheetProtection algorithmName="SHA-512" hashValue="a4pZZjQfFGhHWt5cFp5cQasM84lYqYEifFmcbMZMzV+r2aG7Vkbsp1gRF4gGzKVjQaJE/v1ZfJJizzgSVTBGFw==" saltValue="z0/Y6sWFUxhPdEYFqzB9mg==" spinCount="100000" sheet="1" objects="1" scenarios="1"/>
  <mergeCells count="12">
    <mergeCell ref="B2:D2"/>
    <mergeCell ref="B3:D4"/>
    <mergeCell ref="B9:D10"/>
    <mergeCell ref="G12:H12"/>
    <mergeCell ref="G13:H13"/>
    <mergeCell ref="B37:D37"/>
    <mergeCell ref="F6:G6"/>
    <mergeCell ref="H6:J6"/>
    <mergeCell ref="F3:F4"/>
    <mergeCell ref="I9:J10"/>
    <mergeCell ref="G14:H14"/>
    <mergeCell ref="G15:H15"/>
  </mergeCells>
  <pageMargins left="0.7" right="0.7" top="0.75" bottom="0.75" header="0.3" footer="0.3"/>
  <pageSetup orientation="portrait" r:id="rId1"/>
  <ignoredErrors>
    <ignoredError sqref="C12" unlocked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79"/>
  <sheetViews>
    <sheetView showGridLines="0" zoomScale="80" zoomScaleNormal="80" workbookViewId="0">
      <pane xSplit="1" ySplit="2" topLeftCell="B53" activePane="bottomRight" state="frozen"/>
      <selection pane="topRight" activeCell="B1" sqref="B1"/>
      <selection pane="bottomLeft" activeCell="A3" sqref="A3"/>
      <selection pane="bottomRight" activeCell="A3" sqref="A3:XFD77"/>
    </sheetView>
  </sheetViews>
  <sheetFormatPr defaultColWidth="9.125" defaultRowHeight="15" x14ac:dyDescent="0.25"/>
  <cols>
    <col min="1" max="1" width="77.875" style="1" customWidth="1"/>
    <col min="2" max="49" width="12.75" style="1" customWidth="1"/>
    <col min="50" max="50" width="10.875" style="1" bestFit="1" customWidth="1"/>
    <col min="51" max="51" width="12.625" style="1" customWidth="1"/>
    <col min="52" max="16384" width="9.125" style="1"/>
  </cols>
  <sheetData>
    <row r="1" spans="1:50" ht="18.75" x14ac:dyDescent="0.3">
      <c r="B1" s="365" t="s">
        <v>17</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row>
    <row r="2" spans="1:50" ht="12" customHeight="1" x14ac:dyDescent="0.25">
      <c r="A2" s="1" t="s">
        <v>17</v>
      </c>
      <c r="B2" s="2">
        <v>1</v>
      </c>
      <c r="C2" s="2">
        <v>2</v>
      </c>
      <c r="D2" s="2">
        <v>3</v>
      </c>
      <c r="E2" s="2">
        <v>4</v>
      </c>
      <c r="F2" s="2">
        <v>5</v>
      </c>
      <c r="G2" s="2">
        <v>6</v>
      </c>
      <c r="H2" s="2">
        <v>7</v>
      </c>
      <c r="I2" s="2">
        <v>8</v>
      </c>
      <c r="J2" s="2">
        <v>9</v>
      </c>
      <c r="K2" s="2">
        <v>10</v>
      </c>
      <c r="L2" s="2">
        <v>11</v>
      </c>
      <c r="M2" s="2">
        <v>12</v>
      </c>
      <c r="N2" s="2">
        <v>13</v>
      </c>
      <c r="O2" s="2">
        <v>14</v>
      </c>
      <c r="P2" s="2">
        <v>15</v>
      </c>
      <c r="Q2" s="2">
        <v>16</v>
      </c>
      <c r="R2" s="2">
        <v>17</v>
      </c>
      <c r="S2" s="2">
        <v>18</v>
      </c>
      <c r="T2" s="2">
        <v>19</v>
      </c>
      <c r="U2" s="2">
        <v>20</v>
      </c>
      <c r="V2" s="2">
        <v>21</v>
      </c>
      <c r="W2" s="2">
        <v>22</v>
      </c>
      <c r="X2" s="2">
        <v>23</v>
      </c>
      <c r="Y2" s="2">
        <v>24</v>
      </c>
      <c r="Z2" s="2">
        <v>25</v>
      </c>
      <c r="AA2" s="2">
        <v>26</v>
      </c>
      <c r="AB2" s="2">
        <v>27</v>
      </c>
      <c r="AC2" s="2">
        <v>28</v>
      </c>
      <c r="AD2" s="2">
        <v>29</v>
      </c>
      <c r="AE2" s="2">
        <v>30</v>
      </c>
      <c r="AF2" s="2">
        <v>31</v>
      </c>
      <c r="AG2" s="2">
        <v>32</v>
      </c>
      <c r="AH2" s="2">
        <v>33</v>
      </c>
      <c r="AI2" s="2">
        <v>34</v>
      </c>
      <c r="AJ2" s="2">
        <v>35</v>
      </c>
      <c r="AK2" s="2">
        <v>36</v>
      </c>
      <c r="AL2" s="2">
        <v>37</v>
      </c>
      <c r="AM2" s="2">
        <v>38</v>
      </c>
      <c r="AN2" s="2">
        <v>39</v>
      </c>
      <c r="AO2" s="2">
        <v>40</v>
      </c>
      <c r="AP2" s="2">
        <v>41</v>
      </c>
      <c r="AQ2" s="2">
        <v>42</v>
      </c>
      <c r="AR2" s="2">
        <v>43</v>
      </c>
      <c r="AS2" s="2">
        <v>44</v>
      </c>
      <c r="AT2" s="2">
        <v>45</v>
      </c>
      <c r="AU2" s="2">
        <v>46</v>
      </c>
      <c r="AV2" s="2">
        <v>47</v>
      </c>
      <c r="AW2" s="2">
        <v>48</v>
      </c>
    </row>
    <row r="3" spans="1:50" hidden="1" x14ac:dyDescent="0.25"/>
    <row r="4" spans="1:50" hidden="1" x14ac:dyDescent="0.25">
      <c r="A4" s="1" t="s">
        <v>117</v>
      </c>
      <c r="B4" s="5">
        <f>'Key Variables'!$G$9/12</f>
        <v>1.25</v>
      </c>
      <c r="C4" s="5">
        <f>'Key Variables'!$G$9/12</f>
        <v>1.25</v>
      </c>
      <c r="D4" s="5">
        <f>'Key Variables'!$G$9/12</f>
        <v>1.25</v>
      </c>
      <c r="E4" s="5">
        <f>'Key Variables'!$G$9/12</f>
        <v>1.25</v>
      </c>
      <c r="F4" s="5">
        <f>'Key Variables'!$G$9/12</f>
        <v>1.25</v>
      </c>
      <c r="G4" s="5">
        <f>'Key Variables'!$G$9/12</f>
        <v>1.25</v>
      </c>
      <c r="H4" s="5">
        <f>'Key Variables'!$G$9/12</f>
        <v>1.25</v>
      </c>
      <c r="I4" s="5">
        <f>'Key Variables'!$G$9/12</f>
        <v>1.25</v>
      </c>
      <c r="J4" s="5">
        <f>'Key Variables'!$G$9/12</f>
        <v>1.25</v>
      </c>
      <c r="K4" s="5">
        <f>'Key Variables'!$G$9/12</f>
        <v>1.25</v>
      </c>
      <c r="L4" s="5">
        <f>'Key Variables'!$G$9/12</f>
        <v>1.25</v>
      </c>
      <c r="M4" s="5">
        <f>'Key Variables'!$G$9/12</f>
        <v>1.25</v>
      </c>
      <c r="N4" s="5">
        <f>'Key Variables'!$H$9/12</f>
        <v>1.6666666666666667</v>
      </c>
      <c r="O4" s="5">
        <f>'Key Variables'!$H$9/12</f>
        <v>1.6666666666666667</v>
      </c>
      <c r="P4" s="5">
        <f>'Key Variables'!$H$9/12</f>
        <v>1.6666666666666667</v>
      </c>
      <c r="Q4" s="5">
        <f>'Key Variables'!$H$9/12</f>
        <v>1.6666666666666667</v>
      </c>
      <c r="R4" s="5">
        <f>'Key Variables'!$H$9/12</f>
        <v>1.6666666666666667</v>
      </c>
      <c r="S4" s="5">
        <f>'Key Variables'!$H$9/12</f>
        <v>1.6666666666666667</v>
      </c>
      <c r="T4" s="5">
        <f>'Key Variables'!$H$9/12</f>
        <v>1.6666666666666667</v>
      </c>
      <c r="U4" s="5">
        <f>'Key Variables'!$H$9/12</f>
        <v>1.6666666666666667</v>
      </c>
      <c r="V4" s="5">
        <f>'Key Variables'!$H$9/12</f>
        <v>1.6666666666666667</v>
      </c>
      <c r="W4" s="5">
        <f>'Key Variables'!$H$9/12</f>
        <v>1.6666666666666667</v>
      </c>
      <c r="X4" s="5">
        <f>'Key Variables'!$H$9/12</f>
        <v>1.6666666666666667</v>
      </c>
      <c r="Y4" s="5">
        <f>'Key Variables'!$H$9/12</f>
        <v>1.6666666666666667</v>
      </c>
      <c r="Z4" s="5">
        <f>'Key Variables'!$J$9/12</f>
        <v>2.0833333333333335</v>
      </c>
      <c r="AA4" s="5">
        <f>'Key Variables'!$J$9/12</f>
        <v>2.0833333333333335</v>
      </c>
      <c r="AB4" s="5">
        <f>'Key Variables'!$J$9/12</f>
        <v>2.0833333333333335</v>
      </c>
      <c r="AC4" s="5">
        <f>'Key Variables'!$J$9/12</f>
        <v>2.0833333333333335</v>
      </c>
      <c r="AD4" s="5">
        <f>'Key Variables'!$J$9/12</f>
        <v>2.0833333333333335</v>
      </c>
      <c r="AE4" s="5">
        <f>'Key Variables'!$J$9/12</f>
        <v>2.0833333333333335</v>
      </c>
      <c r="AF4" s="5">
        <f>'Key Variables'!$J$9/12</f>
        <v>2.0833333333333335</v>
      </c>
      <c r="AG4" s="5">
        <f>'Key Variables'!$J$9/12</f>
        <v>2.0833333333333335</v>
      </c>
      <c r="AH4" s="5">
        <f>'Key Variables'!$J$9/12</f>
        <v>2.0833333333333335</v>
      </c>
      <c r="AI4" s="5">
        <f>'Key Variables'!$J$9/12</f>
        <v>2.0833333333333335</v>
      </c>
      <c r="AJ4" s="5">
        <f>'Key Variables'!$J$9/12</f>
        <v>2.0833333333333335</v>
      </c>
      <c r="AK4" s="54">
        <f>'Key Variables'!$J$9/12</f>
        <v>2.0833333333333335</v>
      </c>
      <c r="AL4" s="54">
        <f>'Key Variables'!$K$9/12</f>
        <v>2.5</v>
      </c>
      <c r="AM4" s="5">
        <f>'Key Variables'!$K$9/12</f>
        <v>2.5</v>
      </c>
      <c r="AN4" s="5">
        <f>'Key Variables'!$K$9/12</f>
        <v>2.5</v>
      </c>
      <c r="AO4" s="5">
        <f>'Key Variables'!$K$9/12</f>
        <v>2.5</v>
      </c>
      <c r="AP4" s="5">
        <f>'Key Variables'!$K$9/12</f>
        <v>2.5</v>
      </c>
      <c r="AQ4" s="5">
        <f>'Key Variables'!$K$9/12</f>
        <v>2.5</v>
      </c>
      <c r="AR4" s="5">
        <f>'Key Variables'!$K$9/12</f>
        <v>2.5</v>
      </c>
      <c r="AS4" s="5">
        <f>'Key Variables'!$K$9/12</f>
        <v>2.5</v>
      </c>
      <c r="AT4" s="5">
        <f>'Key Variables'!$K$9/12</f>
        <v>2.5</v>
      </c>
      <c r="AU4" s="5">
        <f>'Key Variables'!$K$9/12</f>
        <v>2.5</v>
      </c>
      <c r="AV4" s="5">
        <f>'Key Variables'!$K$9/12</f>
        <v>2.5</v>
      </c>
      <c r="AW4" s="5">
        <f>'Key Variables'!$K$9/12</f>
        <v>2.5</v>
      </c>
    </row>
    <row r="5" spans="1:50" hidden="1" x14ac:dyDescent="0.25">
      <c r="A5" s="10" t="s">
        <v>118</v>
      </c>
      <c r="B5" s="39">
        <f>B4</f>
        <v>1.25</v>
      </c>
      <c r="C5" s="39">
        <f t="shared" ref="C5:M5" si="0">B5+C4</f>
        <v>2.5</v>
      </c>
      <c r="D5" s="39">
        <f t="shared" si="0"/>
        <v>3.75</v>
      </c>
      <c r="E5" s="39">
        <f t="shared" si="0"/>
        <v>5</v>
      </c>
      <c r="F5" s="39">
        <f t="shared" si="0"/>
        <v>6.25</v>
      </c>
      <c r="G5" s="39">
        <f t="shared" si="0"/>
        <v>7.5</v>
      </c>
      <c r="H5" s="3">
        <f t="shared" si="0"/>
        <v>8.75</v>
      </c>
      <c r="I5" s="3">
        <f t="shared" si="0"/>
        <v>10</v>
      </c>
      <c r="J5" s="3">
        <f t="shared" si="0"/>
        <v>11.25</v>
      </c>
      <c r="K5" s="3">
        <f t="shared" si="0"/>
        <v>12.5</v>
      </c>
      <c r="L5" s="3">
        <f t="shared" si="0"/>
        <v>13.75</v>
      </c>
      <c r="M5" s="3">
        <f t="shared" si="0"/>
        <v>15</v>
      </c>
      <c r="N5" s="3">
        <f>M5+N4-(B4*'"Fine Tune" Variables'!$G$9)</f>
        <v>16.666666666666668</v>
      </c>
      <c r="O5" s="3">
        <f>N5+O4-(C4*'"Fine Tune" Variables'!$G$9)</f>
        <v>18.333333333333336</v>
      </c>
      <c r="P5" s="3">
        <f>O5+P4-(D4*'"Fine Tune" Variables'!$G$9)</f>
        <v>20.000000000000004</v>
      </c>
      <c r="Q5" s="3">
        <f>P5+Q4-(E4*'"Fine Tune" Variables'!$G$9)</f>
        <v>21.666666666666671</v>
      </c>
      <c r="R5" s="3">
        <f>Q5+R4-(F4*'"Fine Tune" Variables'!$G$9)</f>
        <v>23.333333333333339</v>
      </c>
      <c r="S5" s="3">
        <f>R5+S4-(G4*'"Fine Tune" Variables'!$G$9)</f>
        <v>25.000000000000007</v>
      </c>
      <c r="T5" s="3">
        <f>S5+T4-(H4*'"Fine Tune" Variables'!$G$9)</f>
        <v>26.666666666666675</v>
      </c>
      <c r="U5" s="3">
        <f>T5+U4-(I4*'"Fine Tune" Variables'!$G$9)</f>
        <v>28.333333333333343</v>
      </c>
      <c r="V5" s="3">
        <f>U5+V4-(J4*'"Fine Tune" Variables'!$G$9)</f>
        <v>30.000000000000011</v>
      </c>
      <c r="W5" s="3">
        <f>V5+W4-(K4*'"Fine Tune" Variables'!$G$9)</f>
        <v>31.666666666666679</v>
      </c>
      <c r="X5" s="3">
        <f>W5+X4-(L4*'"Fine Tune" Variables'!$G$9)</f>
        <v>33.333333333333343</v>
      </c>
      <c r="Y5" s="3">
        <f>X5+Y4-(M4*'"Fine Tune" Variables'!$G$9)</f>
        <v>35.000000000000007</v>
      </c>
      <c r="Z5" s="3">
        <f>Y5+Z4-(N4*'"Fine Tune" Variables'!$G$9)</f>
        <v>37.083333333333343</v>
      </c>
      <c r="AA5" s="3">
        <f>Z5+AA4-(O4*'"Fine Tune" Variables'!$G$9)</f>
        <v>39.166666666666679</v>
      </c>
      <c r="AB5" s="3">
        <f>AA5+AB4-(P4*'"Fine Tune" Variables'!$G$9)</f>
        <v>41.250000000000014</v>
      </c>
      <c r="AC5" s="3">
        <f>AB5+AC4-(Q4*'"Fine Tune" Variables'!$G$9)</f>
        <v>43.33333333333335</v>
      </c>
      <c r="AD5" s="3">
        <f>AC5+AD4-(R4*'"Fine Tune" Variables'!$G$9)</f>
        <v>45.416666666666686</v>
      </c>
      <c r="AE5" s="3">
        <f>AD5+AE4-(S4*'"Fine Tune" Variables'!$G$9)</f>
        <v>47.500000000000021</v>
      </c>
      <c r="AF5" s="3">
        <f>AE5+AF4-(T4*'"Fine Tune" Variables'!$G$9)</f>
        <v>49.583333333333357</v>
      </c>
      <c r="AG5" s="3">
        <f>AF5+AG4-(U4*'"Fine Tune" Variables'!$G$9)</f>
        <v>51.666666666666693</v>
      </c>
      <c r="AH5" s="3">
        <f>AG5+AH4-(V4*'"Fine Tune" Variables'!$G$9)</f>
        <v>53.750000000000028</v>
      </c>
      <c r="AI5" s="3">
        <f>AH5+AI4-(W4*'"Fine Tune" Variables'!$G$9)</f>
        <v>55.833333333333364</v>
      </c>
      <c r="AJ5" s="3">
        <f>AI5+AJ4-(X4*'"Fine Tune" Variables'!$G$9)</f>
        <v>57.9166666666667</v>
      </c>
      <c r="AK5" s="54">
        <f>AJ5+AK4-(Y4*'"Fine Tune" Variables'!$G$9)</f>
        <v>60.000000000000036</v>
      </c>
      <c r="AL5" s="54">
        <f>AK5+AL4-(Z4*'"Fine Tune" Variables'!$G$9)</f>
        <v>62.500000000000036</v>
      </c>
      <c r="AM5" s="3">
        <f>AL5+AM4-(AA4*'"Fine Tune" Variables'!$G$9)</f>
        <v>65.000000000000028</v>
      </c>
      <c r="AN5" s="3">
        <f>AM5+AN4-(AB4*'"Fine Tune" Variables'!$G$9)</f>
        <v>67.500000000000028</v>
      </c>
      <c r="AO5" s="3">
        <f>AN5+AO4-(AC4*'"Fine Tune" Variables'!$G$9)</f>
        <v>70.000000000000028</v>
      </c>
      <c r="AP5" s="3">
        <f>AO5+AP4-(AD4*'"Fine Tune" Variables'!$G$9)</f>
        <v>72.500000000000028</v>
      </c>
      <c r="AQ5" s="3">
        <f>AP5+AQ4-(AE4*'"Fine Tune" Variables'!$G$9)</f>
        <v>75.000000000000028</v>
      </c>
      <c r="AR5" s="3">
        <f>AQ5+AR4-(AF4*'"Fine Tune" Variables'!$G$9)</f>
        <v>77.500000000000028</v>
      </c>
      <c r="AS5" s="3">
        <f>AR5+AS4-(AG4*'"Fine Tune" Variables'!$G$9)</f>
        <v>80.000000000000028</v>
      </c>
      <c r="AT5" s="3">
        <f>AS5+AT4-(AH4*'"Fine Tune" Variables'!$G$9)</f>
        <v>82.500000000000028</v>
      </c>
      <c r="AU5" s="3">
        <f>AT5+AU4-(AI4*'"Fine Tune" Variables'!$G$9)</f>
        <v>85.000000000000028</v>
      </c>
      <c r="AV5" s="3">
        <f>AU5+AV4-(AJ4*'"Fine Tune" Variables'!$G$9)</f>
        <v>87.500000000000028</v>
      </c>
      <c r="AW5" s="3">
        <f>AV5+AW4-(AK4*'"Fine Tune" Variables'!$G$9)</f>
        <v>90.000000000000028</v>
      </c>
    </row>
    <row r="6" spans="1:50" hidden="1" x14ac:dyDescent="0.25">
      <c r="A6" s="10"/>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50" hidden="1" x14ac:dyDescent="0.25">
      <c r="A7" s="10" t="s">
        <v>119</v>
      </c>
      <c r="B7" s="39">
        <f>B5*'Key Variables'!$C$84</f>
        <v>25</v>
      </c>
      <c r="C7" s="3">
        <f>C5*'Key Variables'!$C$84</f>
        <v>50</v>
      </c>
      <c r="D7" s="3">
        <f>D5*'Key Variables'!$C$84</f>
        <v>75</v>
      </c>
      <c r="E7" s="3">
        <f>E5*'Key Variables'!$C$84</f>
        <v>100</v>
      </c>
      <c r="F7" s="3">
        <f>F5*'Key Variables'!$C$84</f>
        <v>125</v>
      </c>
      <c r="G7" s="3">
        <f>G5*'Key Variables'!$C$84</f>
        <v>150</v>
      </c>
      <c r="H7" s="3">
        <f>H5*'Key Variables'!$C$84</f>
        <v>175</v>
      </c>
      <c r="I7" s="3">
        <f>I5*'Key Variables'!$C$84</f>
        <v>200</v>
      </c>
      <c r="J7" s="3">
        <f>J5*'Key Variables'!$C$84</f>
        <v>225</v>
      </c>
      <c r="K7" s="3">
        <f>K5*'Key Variables'!$C$84</f>
        <v>250</v>
      </c>
      <c r="L7" s="3">
        <f>L5*'Key Variables'!$C$84</f>
        <v>275</v>
      </c>
      <c r="M7" s="3">
        <f>M5*'Key Variables'!$C$84</f>
        <v>300</v>
      </c>
      <c r="N7" s="3">
        <f>N5*'Key Variables'!$C$84</f>
        <v>333.33333333333337</v>
      </c>
      <c r="O7" s="3">
        <f>O5*'Key Variables'!$C$84</f>
        <v>366.66666666666674</v>
      </c>
      <c r="P7" s="3">
        <f>P5*'Key Variables'!$C$84</f>
        <v>400.00000000000006</v>
      </c>
      <c r="Q7" s="3">
        <f>Q5*'Key Variables'!$C$84</f>
        <v>433.33333333333343</v>
      </c>
      <c r="R7" s="3">
        <f>R5*'Key Variables'!$C$84</f>
        <v>466.6666666666668</v>
      </c>
      <c r="S7" s="3">
        <f>S5*'Key Variables'!$C$84</f>
        <v>500.00000000000011</v>
      </c>
      <c r="T7" s="3">
        <f>T5*'Key Variables'!$C$84</f>
        <v>533.33333333333348</v>
      </c>
      <c r="U7" s="3">
        <f>U5*'Key Variables'!$C$84</f>
        <v>566.66666666666686</v>
      </c>
      <c r="V7" s="3">
        <f>V5*'Key Variables'!$C$84</f>
        <v>600.00000000000023</v>
      </c>
      <c r="W7" s="3">
        <f>W5*'Key Variables'!$C$84</f>
        <v>633.3333333333336</v>
      </c>
      <c r="X7" s="3">
        <f>X5*'Key Variables'!$C$84</f>
        <v>666.66666666666686</v>
      </c>
      <c r="Y7" s="3">
        <f>Y5*'Key Variables'!$C$84</f>
        <v>700.00000000000011</v>
      </c>
      <c r="Z7" s="3">
        <f>Z5*'Key Variables'!$C$84</f>
        <v>741.66666666666686</v>
      </c>
      <c r="AA7" s="3">
        <f>AA5*'Key Variables'!$C$84</f>
        <v>783.3333333333336</v>
      </c>
      <c r="AB7" s="3">
        <f>AB5*'Key Variables'!$C$84</f>
        <v>825.00000000000023</v>
      </c>
      <c r="AC7" s="3">
        <f>AC5*'Key Variables'!$C$84</f>
        <v>866.66666666666697</v>
      </c>
      <c r="AD7" s="3">
        <f>AD5*'Key Variables'!$C$84</f>
        <v>908.33333333333371</v>
      </c>
      <c r="AE7" s="3">
        <f>AE5*'Key Variables'!$C$84</f>
        <v>950.00000000000045</v>
      </c>
      <c r="AF7" s="3">
        <f>AF5*'Key Variables'!$C$84</f>
        <v>991.6666666666672</v>
      </c>
      <c r="AG7" s="3">
        <f>AG5*'Key Variables'!$C$84</f>
        <v>1033.3333333333339</v>
      </c>
      <c r="AH7" s="3">
        <f>AH5*'Key Variables'!$C$84</f>
        <v>1075.0000000000005</v>
      </c>
      <c r="AI7" s="3">
        <f>AI5*'Key Variables'!$C$84</f>
        <v>1116.6666666666672</v>
      </c>
      <c r="AJ7" s="3">
        <f>AJ5*'Key Variables'!$C$84</f>
        <v>1158.3333333333339</v>
      </c>
      <c r="AK7" s="3">
        <f>AK5*'Key Variables'!$C$84</f>
        <v>1200.0000000000007</v>
      </c>
      <c r="AL7" s="3">
        <f>AL5*'Key Variables'!$C$84</f>
        <v>1250.0000000000007</v>
      </c>
      <c r="AM7" s="3">
        <f>AM5*'Key Variables'!$C$84</f>
        <v>1300.0000000000005</v>
      </c>
      <c r="AN7" s="3">
        <f>AN5*'Key Variables'!$C$84</f>
        <v>1350.0000000000005</v>
      </c>
      <c r="AO7" s="3">
        <f>AO5*'Key Variables'!$C$84</f>
        <v>1400.0000000000005</v>
      </c>
      <c r="AP7" s="3">
        <f>AP5*'Key Variables'!$C$84</f>
        <v>1450.0000000000005</v>
      </c>
      <c r="AQ7" s="3">
        <f>AQ5*'Key Variables'!$C$84</f>
        <v>1500.0000000000005</v>
      </c>
      <c r="AR7" s="3">
        <f>AR5*'Key Variables'!$C$84</f>
        <v>1550.0000000000005</v>
      </c>
      <c r="AS7" s="3">
        <f>AS5*'Key Variables'!$C$84</f>
        <v>1600.0000000000005</v>
      </c>
      <c r="AT7" s="3">
        <f>AT5*'Key Variables'!$C$84</f>
        <v>1650.0000000000005</v>
      </c>
      <c r="AU7" s="3">
        <f>AU5*'Key Variables'!$C$84</f>
        <v>1700.0000000000005</v>
      </c>
      <c r="AV7" s="3">
        <f>AV5*'Key Variables'!$C$84</f>
        <v>1750.0000000000005</v>
      </c>
      <c r="AW7" s="3">
        <f>AW5*'Key Variables'!$C$84</f>
        <v>1800.0000000000005</v>
      </c>
    </row>
    <row r="8" spans="1:50" hidden="1" x14ac:dyDescent="0.25">
      <c r="A8" s="10"/>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0" hidden="1" x14ac:dyDescent="0.25">
      <c r="A9" s="10" t="s">
        <v>120</v>
      </c>
      <c r="B9" s="37">
        <f>B5*'Key Variables'!$C$56/100</f>
        <v>0.3125</v>
      </c>
      <c r="C9" s="37">
        <f>C5*'Key Variables'!$C$56/100</f>
        <v>0.625</v>
      </c>
      <c r="D9" s="37">
        <f>D5*'Key Variables'!$C$56/100</f>
        <v>0.9375</v>
      </c>
      <c r="E9" s="3">
        <f>E5*'Key Variables'!$C$56/100</f>
        <v>1.25</v>
      </c>
      <c r="F9" s="3">
        <f>F5*'Key Variables'!$C$56/100</f>
        <v>1.5625</v>
      </c>
      <c r="G9" s="3">
        <f>G5*'Key Variables'!$C$56/100</f>
        <v>1.875</v>
      </c>
      <c r="H9" s="3">
        <f>H5*'Key Variables'!$C$56/100</f>
        <v>2.1875</v>
      </c>
      <c r="I9" s="3">
        <f>I5*'Key Variables'!$C$56/100</f>
        <v>2.5</v>
      </c>
      <c r="J9" s="3">
        <f>J5*'Key Variables'!$C$56/100</f>
        <v>2.8125</v>
      </c>
      <c r="K9" s="3">
        <f>K5*'Key Variables'!$C$56/100</f>
        <v>3.125</v>
      </c>
      <c r="L9" s="3">
        <f>L5*'Key Variables'!$C$56/100</f>
        <v>3.4375</v>
      </c>
      <c r="M9" s="3">
        <f>M5*'Key Variables'!$C$56/100</f>
        <v>3.75</v>
      </c>
      <c r="N9" s="3">
        <f>N5*'Key Variables'!$C$56/100</f>
        <v>4.166666666666667</v>
      </c>
      <c r="O9" s="3">
        <f>O5*'Key Variables'!$C$56/100</f>
        <v>4.5833333333333339</v>
      </c>
      <c r="P9" s="3">
        <f>P5*'Key Variables'!$C$56/100</f>
        <v>5.0000000000000009</v>
      </c>
      <c r="Q9" s="3">
        <f>Q5*'Key Variables'!$C$56/100</f>
        <v>5.4166666666666679</v>
      </c>
      <c r="R9" s="3">
        <f>R5*'Key Variables'!$C$56/100</f>
        <v>5.8333333333333348</v>
      </c>
      <c r="S9" s="3">
        <f>S5*'Key Variables'!$C$56/100</f>
        <v>6.2500000000000027</v>
      </c>
      <c r="T9" s="3">
        <f>T5*'Key Variables'!$C$56/100</f>
        <v>6.6666666666666687</v>
      </c>
      <c r="U9" s="3">
        <f>U5*'Key Variables'!$C$56/100</f>
        <v>7.0833333333333357</v>
      </c>
      <c r="V9" s="3">
        <f>V5*'Key Variables'!$C$56/100</f>
        <v>7.5000000000000027</v>
      </c>
      <c r="W9" s="3">
        <f>W5*'Key Variables'!$C$56/100</f>
        <v>7.9166666666666696</v>
      </c>
      <c r="X9" s="3">
        <f>X5*'Key Variables'!$C$56/100</f>
        <v>8.3333333333333357</v>
      </c>
      <c r="Y9" s="3">
        <f>Y5*'Key Variables'!$C$56/100</f>
        <v>8.7500000000000018</v>
      </c>
      <c r="Z9" s="3">
        <f>Z5*'Key Variables'!$C$56/100</f>
        <v>9.2708333333333357</v>
      </c>
      <c r="AA9" s="3">
        <f>AA5*'Key Variables'!$C$56/100</f>
        <v>9.7916666666666696</v>
      </c>
      <c r="AB9" s="3">
        <f>AB5*'Key Variables'!$C$56/100</f>
        <v>10.312500000000005</v>
      </c>
      <c r="AC9" s="3">
        <f>AC5*'Key Variables'!$C$56/100</f>
        <v>10.833333333333337</v>
      </c>
      <c r="AD9" s="3">
        <f>AD5*'Key Variables'!$C$56/100</f>
        <v>11.354166666666671</v>
      </c>
      <c r="AE9" s="3">
        <f>AE5*'Key Variables'!$C$56/100</f>
        <v>11.875000000000005</v>
      </c>
      <c r="AF9" s="3">
        <f>AF5*'Key Variables'!$C$56/100</f>
        <v>12.395833333333339</v>
      </c>
      <c r="AG9" s="3">
        <f>AG5*'Key Variables'!$C$56/100</f>
        <v>12.916666666666675</v>
      </c>
      <c r="AH9" s="3">
        <f>AH5*'Key Variables'!$C$56/100</f>
        <v>13.437500000000007</v>
      </c>
      <c r="AI9" s="3">
        <f>AI5*'Key Variables'!$C$56/100</f>
        <v>13.958333333333341</v>
      </c>
      <c r="AJ9" s="3">
        <f>AJ5*'Key Variables'!$C$56/100</f>
        <v>14.479166666666675</v>
      </c>
      <c r="AK9" s="3">
        <f>AK5*'Key Variables'!$C$56/100</f>
        <v>15.000000000000009</v>
      </c>
      <c r="AL9" s="3">
        <f>AL5*'Key Variables'!$C$56/100</f>
        <v>15.625000000000009</v>
      </c>
      <c r="AM9" s="3">
        <f>AM5*'Key Variables'!$C$56/100</f>
        <v>16.250000000000007</v>
      </c>
      <c r="AN9" s="3">
        <f>AN5*'Key Variables'!$C$56/100</f>
        <v>16.875000000000007</v>
      </c>
      <c r="AO9" s="3">
        <f>AO5*'Key Variables'!$C$56/100</f>
        <v>17.500000000000007</v>
      </c>
      <c r="AP9" s="3">
        <f>AP5*'Key Variables'!$C$56/100</f>
        <v>18.125000000000007</v>
      </c>
      <c r="AQ9" s="3">
        <f>AQ5*'Key Variables'!$C$56/100</f>
        <v>18.750000000000007</v>
      </c>
      <c r="AR9" s="3">
        <f>AR5*'Key Variables'!$C$56/100</f>
        <v>19.375000000000007</v>
      </c>
      <c r="AS9" s="3">
        <f>AS5*'Key Variables'!$C$56/100</f>
        <v>20.000000000000007</v>
      </c>
      <c r="AT9" s="3">
        <f>AT5*'Key Variables'!$C$56/100</f>
        <v>20.625000000000011</v>
      </c>
      <c r="AU9" s="3">
        <f>AU5*'Key Variables'!$C$56/100</f>
        <v>21.250000000000011</v>
      </c>
      <c r="AV9" s="3">
        <f>AV5*'Key Variables'!$C$56/100</f>
        <v>21.875000000000011</v>
      </c>
      <c r="AW9" s="3">
        <f>AW5*'Key Variables'!$C$56/100</f>
        <v>22.500000000000011</v>
      </c>
      <c r="AX9" s="57">
        <f>AW9/$AW$5</f>
        <v>0.25000000000000006</v>
      </c>
    </row>
    <row r="10" spans="1:50" hidden="1" x14ac:dyDescent="0.25">
      <c r="A10" s="10" t="s">
        <v>126</v>
      </c>
      <c r="B10" s="37">
        <f>B5*'Key Variables'!$C$57/100</f>
        <v>0</v>
      </c>
      <c r="C10" s="37">
        <f>C5*'Key Variables'!$C$57/100</f>
        <v>0</v>
      </c>
      <c r="D10" s="37">
        <f>D5*'Key Variables'!$C$57/100</f>
        <v>0</v>
      </c>
      <c r="E10" s="37">
        <f>E5*'Key Variables'!$C$57/100</f>
        <v>0</v>
      </c>
      <c r="F10" s="37">
        <f>F5*'Key Variables'!$C$57/100</f>
        <v>0</v>
      </c>
      <c r="G10" s="37">
        <f>G5*'Key Variables'!$C$57/100</f>
        <v>0</v>
      </c>
      <c r="H10" s="37">
        <f>H5*'Key Variables'!$C$57/100</f>
        <v>0</v>
      </c>
      <c r="I10" s="37">
        <f>I5*'Key Variables'!$C$57/100</f>
        <v>0</v>
      </c>
      <c r="J10" s="37">
        <f>J5*'Key Variables'!$C$57/100</f>
        <v>0</v>
      </c>
      <c r="K10" s="37">
        <f>K5*'Key Variables'!$C$57/100</f>
        <v>0</v>
      </c>
      <c r="L10" s="37">
        <f>L5*'Key Variables'!$C$57/100</f>
        <v>0</v>
      </c>
      <c r="M10" s="37">
        <f>M5*'Key Variables'!$C$57/100</f>
        <v>0</v>
      </c>
      <c r="N10" s="37">
        <f>N5*'Key Variables'!$C$57/100</f>
        <v>0</v>
      </c>
      <c r="O10" s="37">
        <f>O5*'Key Variables'!$C$57/100</f>
        <v>0</v>
      </c>
      <c r="P10" s="37">
        <f>P5*'Key Variables'!$C$57/100</f>
        <v>0</v>
      </c>
      <c r="Q10" s="37">
        <f>Q5*'Key Variables'!$C$57/100</f>
        <v>0</v>
      </c>
      <c r="R10" s="37">
        <f>R5*'Key Variables'!$C$57/100</f>
        <v>0</v>
      </c>
      <c r="S10" s="37">
        <f>S5*'Key Variables'!$C$57/100</f>
        <v>0</v>
      </c>
      <c r="T10" s="37">
        <f>T5*'Key Variables'!$C$57/100</f>
        <v>0</v>
      </c>
      <c r="U10" s="37">
        <f>U5*'Key Variables'!$C$57/100</f>
        <v>0</v>
      </c>
      <c r="V10" s="37">
        <f>V5*'Key Variables'!$C$57/100</f>
        <v>0</v>
      </c>
      <c r="W10" s="37">
        <f>W5*'Key Variables'!$C$57/100</f>
        <v>0</v>
      </c>
      <c r="X10" s="37">
        <f>X5*'Key Variables'!$C$57/100</f>
        <v>0</v>
      </c>
      <c r="Y10" s="37">
        <f>Y5*'Key Variables'!$C$57/100</f>
        <v>0</v>
      </c>
      <c r="Z10" s="37">
        <f>Z5*'Key Variables'!$C$57/100</f>
        <v>0</v>
      </c>
      <c r="AA10" s="37">
        <f>AA5*'Key Variables'!$C$57/100</f>
        <v>0</v>
      </c>
      <c r="AB10" s="37">
        <f>AB5*'Key Variables'!$C$57/100</f>
        <v>0</v>
      </c>
      <c r="AC10" s="37">
        <f>AC5*'Key Variables'!$C$57/100</f>
        <v>0</v>
      </c>
      <c r="AD10" s="37">
        <f>AD5*'Key Variables'!$C$57/100</f>
        <v>0</v>
      </c>
      <c r="AE10" s="37">
        <f>AE5*'Key Variables'!$C$57/100</f>
        <v>0</v>
      </c>
      <c r="AF10" s="37">
        <f>AF5*'Key Variables'!$C$57/100</f>
        <v>0</v>
      </c>
      <c r="AG10" s="37">
        <f>AG5*'Key Variables'!$C$57/100</f>
        <v>0</v>
      </c>
      <c r="AH10" s="37">
        <f>AH5*'Key Variables'!$C$57/100</f>
        <v>0</v>
      </c>
      <c r="AI10" s="37">
        <f>AI5*'Key Variables'!$C$57/100</f>
        <v>0</v>
      </c>
      <c r="AJ10" s="37">
        <f>AJ5*'Key Variables'!$C$57/100</f>
        <v>0</v>
      </c>
      <c r="AK10" s="37">
        <f>AK5*'Key Variables'!$C$57/100</f>
        <v>0</v>
      </c>
      <c r="AL10" s="37">
        <f>AL5*'Key Variables'!$C$57/100</f>
        <v>0</v>
      </c>
      <c r="AM10" s="37">
        <f>AM5*'Key Variables'!$C$57/100</f>
        <v>0</v>
      </c>
      <c r="AN10" s="37">
        <f>AN5*'Key Variables'!$C$57/100</f>
        <v>0</v>
      </c>
      <c r="AO10" s="37">
        <f>AO5*'Key Variables'!$C$57/100</f>
        <v>0</v>
      </c>
      <c r="AP10" s="37">
        <f>AP5*'Key Variables'!$C$57/100</f>
        <v>0</v>
      </c>
      <c r="AQ10" s="37">
        <f>AQ5*'Key Variables'!$C$57/100</f>
        <v>0</v>
      </c>
      <c r="AR10" s="37">
        <f>AR5*'Key Variables'!$C$57/100</f>
        <v>0</v>
      </c>
      <c r="AS10" s="37">
        <f>AS5*'Key Variables'!$C$57/100</f>
        <v>0</v>
      </c>
      <c r="AT10" s="37">
        <f>AT5*'Key Variables'!$C$57/100</f>
        <v>0</v>
      </c>
      <c r="AU10" s="37">
        <f>AU5*'Key Variables'!$C$57/100</f>
        <v>0</v>
      </c>
      <c r="AV10" s="37">
        <f>AV5*'Key Variables'!$C$57/100</f>
        <v>0</v>
      </c>
      <c r="AW10" s="37">
        <f>AW5*'Key Variables'!$C$57/100</f>
        <v>0</v>
      </c>
      <c r="AX10" s="57">
        <f t="shared" ref="AX10:AX14" si="1">AW10/$AW$5</f>
        <v>0</v>
      </c>
    </row>
    <row r="11" spans="1:50" hidden="1" x14ac:dyDescent="0.25">
      <c r="A11" s="10" t="s">
        <v>186</v>
      </c>
      <c r="B11" s="37">
        <f>B5*'Key Variables'!$C$55/100</f>
        <v>1.25</v>
      </c>
      <c r="C11" s="37">
        <f>C5*'Key Variables'!$C$55/100</f>
        <v>2.5</v>
      </c>
      <c r="D11" s="37">
        <f>D5*'Key Variables'!$C$55/100</f>
        <v>3.75</v>
      </c>
      <c r="E11" s="37">
        <f>E5*'Key Variables'!$C$55/100</f>
        <v>5</v>
      </c>
      <c r="F11" s="37">
        <f>F5*'Key Variables'!$C$55/100</f>
        <v>6.25</v>
      </c>
      <c r="G11" s="37">
        <f>G5*'Key Variables'!$C$55/100</f>
        <v>7.5</v>
      </c>
      <c r="H11" s="37">
        <f>H5*'Key Variables'!$C$55/100</f>
        <v>8.75</v>
      </c>
      <c r="I11" s="37">
        <f>I5*'Key Variables'!$C$55/100</f>
        <v>10</v>
      </c>
      <c r="J11" s="37">
        <f>J5*'Key Variables'!$C$55/100</f>
        <v>11.25</v>
      </c>
      <c r="K11" s="37">
        <f>K5*'Key Variables'!$C$55/100</f>
        <v>12.5</v>
      </c>
      <c r="L11" s="37">
        <f>L5*'Key Variables'!$C$55/100</f>
        <v>13.75</v>
      </c>
      <c r="M11" s="37">
        <f>M5*'Key Variables'!$C$55/100</f>
        <v>15</v>
      </c>
      <c r="N11" s="37">
        <f>N5*'Key Variables'!$C$55/100</f>
        <v>16.666666666666668</v>
      </c>
      <c r="O11" s="37">
        <f>O5*'Key Variables'!$C$55/100</f>
        <v>18.333333333333336</v>
      </c>
      <c r="P11" s="37">
        <f>P5*'Key Variables'!$C$55/100</f>
        <v>20.000000000000004</v>
      </c>
      <c r="Q11" s="37">
        <f>Q5*'Key Variables'!$C$55/100</f>
        <v>21.666666666666671</v>
      </c>
      <c r="R11" s="37">
        <f>R5*'Key Variables'!$C$55/100</f>
        <v>23.333333333333339</v>
      </c>
      <c r="S11" s="37">
        <f>S5*'Key Variables'!$C$55/100</f>
        <v>25.000000000000011</v>
      </c>
      <c r="T11" s="37">
        <f>T5*'Key Variables'!$C$55/100</f>
        <v>26.666666666666675</v>
      </c>
      <c r="U11" s="37">
        <f>U5*'Key Variables'!$C$55/100</f>
        <v>28.333333333333343</v>
      </c>
      <c r="V11" s="37">
        <f>V5*'Key Variables'!$C$55/100</f>
        <v>30.000000000000011</v>
      </c>
      <c r="W11" s="37">
        <f>W5*'Key Variables'!$C$55/100</f>
        <v>31.666666666666679</v>
      </c>
      <c r="X11" s="37">
        <f>X5*'Key Variables'!$C$55/100</f>
        <v>33.333333333333343</v>
      </c>
      <c r="Y11" s="37">
        <f>Y5*'Key Variables'!$C$55/100</f>
        <v>35.000000000000007</v>
      </c>
      <c r="Z11" s="37">
        <f>Z5*'Key Variables'!$C$55/100</f>
        <v>37.083333333333343</v>
      </c>
      <c r="AA11" s="37">
        <f>AA5*'Key Variables'!$C$55/100</f>
        <v>39.166666666666679</v>
      </c>
      <c r="AB11" s="37">
        <f>AB5*'Key Variables'!$C$55/100</f>
        <v>41.250000000000021</v>
      </c>
      <c r="AC11" s="37">
        <f>AC5*'Key Variables'!$C$55/100</f>
        <v>43.33333333333335</v>
      </c>
      <c r="AD11" s="37">
        <f>AD5*'Key Variables'!$C$55/100</f>
        <v>45.416666666666686</v>
      </c>
      <c r="AE11" s="37">
        <f>AE5*'Key Variables'!$C$55/100</f>
        <v>47.500000000000021</v>
      </c>
      <c r="AF11" s="37">
        <f>AF5*'Key Variables'!$C$55/100</f>
        <v>49.583333333333357</v>
      </c>
      <c r="AG11" s="37">
        <f>AG5*'Key Variables'!$C$55/100</f>
        <v>51.6666666666667</v>
      </c>
      <c r="AH11" s="37">
        <f>AH5*'Key Variables'!$C$55/100</f>
        <v>53.750000000000028</v>
      </c>
      <c r="AI11" s="37">
        <f>AI5*'Key Variables'!$C$55/100</f>
        <v>55.833333333333364</v>
      </c>
      <c r="AJ11" s="37">
        <f>AJ5*'Key Variables'!$C$55/100</f>
        <v>57.9166666666667</v>
      </c>
      <c r="AK11" s="37">
        <f>AK5*'Key Variables'!$C$55/100</f>
        <v>60.000000000000036</v>
      </c>
      <c r="AL11" s="37">
        <f>AL5*'Key Variables'!$C$55/100</f>
        <v>62.500000000000036</v>
      </c>
      <c r="AM11" s="37">
        <f>AM5*'Key Variables'!$C$55/100</f>
        <v>65.000000000000028</v>
      </c>
      <c r="AN11" s="37">
        <f>AN5*'Key Variables'!$C$55/100</f>
        <v>67.500000000000028</v>
      </c>
      <c r="AO11" s="37">
        <f>AO5*'Key Variables'!$C$55/100</f>
        <v>70.000000000000028</v>
      </c>
      <c r="AP11" s="37">
        <f>AP5*'Key Variables'!$C$55/100</f>
        <v>72.500000000000028</v>
      </c>
      <c r="AQ11" s="37">
        <f>AQ5*'Key Variables'!$C$55/100</f>
        <v>75.000000000000028</v>
      </c>
      <c r="AR11" s="37">
        <f>AR5*'Key Variables'!$C$55/100</f>
        <v>77.500000000000028</v>
      </c>
      <c r="AS11" s="37">
        <f>AS5*'Key Variables'!$C$55/100</f>
        <v>80.000000000000028</v>
      </c>
      <c r="AT11" s="37">
        <f>AT5*'Key Variables'!$C$55/100</f>
        <v>82.500000000000043</v>
      </c>
      <c r="AU11" s="37">
        <f>AU5*'Key Variables'!$C$55/100</f>
        <v>85.000000000000043</v>
      </c>
      <c r="AV11" s="37">
        <f>AV5*'Key Variables'!$C$55/100</f>
        <v>87.500000000000043</v>
      </c>
      <c r="AW11" s="37">
        <f>AW5*'Key Variables'!$C$55/100</f>
        <v>90.000000000000043</v>
      </c>
      <c r="AX11" s="57">
        <f t="shared" si="1"/>
        <v>1.0000000000000002</v>
      </c>
    </row>
    <row r="12" spans="1:50" hidden="1" x14ac:dyDescent="0.25">
      <c r="A12" s="10" t="s">
        <v>127</v>
      </c>
      <c r="B12" s="37">
        <f>B5*'Key Variables'!$C$58/100</f>
        <v>0.625</v>
      </c>
      <c r="C12" s="37">
        <f>C5*'Key Variables'!$C$58/100</f>
        <v>1.25</v>
      </c>
      <c r="D12" s="37">
        <f>D5*'Key Variables'!$C$58/100</f>
        <v>1.875</v>
      </c>
      <c r="E12" s="37">
        <f>E5*'Key Variables'!$C$58/100</f>
        <v>2.5</v>
      </c>
      <c r="F12" s="37">
        <f>F5*'Key Variables'!$C$58/100</f>
        <v>3.125</v>
      </c>
      <c r="G12" s="37">
        <f>G5*'Key Variables'!$C$58/100</f>
        <v>3.75</v>
      </c>
      <c r="H12" s="37">
        <f>H5*'Key Variables'!$C$58/100</f>
        <v>4.375</v>
      </c>
      <c r="I12" s="37">
        <f>I5*'Key Variables'!$C$58/100</f>
        <v>5</v>
      </c>
      <c r="J12" s="37">
        <f>J5*'Key Variables'!$C$58/100</f>
        <v>5.625</v>
      </c>
      <c r="K12" s="37">
        <f>K5*'Key Variables'!$C$58/100</f>
        <v>6.25</v>
      </c>
      <c r="L12" s="37">
        <f>L5*'Key Variables'!$C$58/100</f>
        <v>6.875</v>
      </c>
      <c r="M12" s="37">
        <f>M5*'Key Variables'!$C$58/100</f>
        <v>7.5</v>
      </c>
      <c r="N12" s="37">
        <f>N5*'Key Variables'!$C$58/100</f>
        <v>8.3333333333333339</v>
      </c>
      <c r="O12" s="37">
        <f>O5*'Key Variables'!$C$58/100</f>
        <v>9.1666666666666679</v>
      </c>
      <c r="P12" s="37">
        <f>P5*'Key Variables'!$C$58/100</f>
        <v>10.000000000000002</v>
      </c>
      <c r="Q12" s="37">
        <f>Q5*'Key Variables'!$C$58/100</f>
        <v>10.833333333333336</v>
      </c>
      <c r="R12" s="37">
        <f>R5*'Key Variables'!$C$58/100</f>
        <v>11.66666666666667</v>
      </c>
      <c r="S12" s="37">
        <f>S5*'Key Variables'!$C$58/100</f>
        <v>12.500000000000005</v>
      </c>
      <c r="T12" s="37">
        <f>T5*'Key Variables'!$C$58/100</f>
        <v>13.333333333333337</v>
      </c>
      <c r="U12" s="37">
        <f>U5*'Key Variables'!$C$58/100</f>
        <v>14.166666666666671</v>
      </c>
      <c r="V12" s="37">
        <f>V5*'Key Variables'!$C$58/100</f>
        <v>15.000000000000005</v>
      </c>
      <c r="W12" s="37">
        <f>W5*'Key Variables'!$C$58/100</f>
        <v>15.833333333333339</v>
      </c>
      <c r="X12" s="37">
        <f>X5*'Key Variables'!$C$58/100</f>
        <v>16.666666666666671</v>
      </c>
      <c r="Y12" s="37">
        <f>Y5*'Key Variables'!$C$58/100</f>
        <v>17.500000000000004</v>
      </c>
      <c r="Z12" s="37">
        <f>Z5*'Key Variables'!$C$58/100</f>
        <v>18.541666666666671</v>
      </c>
      <c r="AA12" s="37">
        <f>AA5*'Key Variables'!$C$58/100</f>
        <v>19.583333333333339</v>
      </c>
      <c r="AB12" s="37">
        <f>AB5*'Key Variables'!$C$58/100</f>
        <v>20.625000000000011</v>
      </c>
      <c r="AC12" s="37">
        <f>AC5*'Key Variables'!$C$58/100</f>
        <v>21.666666666666675</v>
      </c>
      <c r="AD12" s="37">
        <f>AD5*'Key Variables'!$C$58/100</f>
        <v>22.708333333333343</v>
      </c>
      <c r="AE12" s="37">
        <f>AE5*'Key Variables'!$C$58/100</f>
        <v>23.750000000000011</v>
      </c>
      <c r="AF12" s="37">
        <f>AF5*'Key Variables'!$C$58/100</f>
        <v>24.791666666666679</v>
      </c>
      <c r="AG12" s="37">
        <f>AG5*'Key Variables'!$C$58/100</f>
        <v>25.83333333333335</v>
      </c>
      <c r="AH12" s="37">
        <f>AH5*'Key Variables'!$C$58/100</f>
        <v>26.875000000000014</v>
      </c>
      <c r="AI12" s="37">
        <f>AI5*'Key Variables'!$C$58/100</f>
        <v>27.916666666666682</v>
      </c>
      <c r="AJ12" s="37">
        <f>AJ5*'Key Variables'!$C$58/100</f>
        <v>28.95833333333335</v>
      </c>
      <c r="AK12" s="37">
        <f>AK5*'Key Variables'!$C$58/100</f>
        <v>30.000000000000018</v>
      </c>
      <c r="AL12" s="37">
        <f>AL5*'Key Variables'!$C$58/100</f>
        <v>31.250000000000018</v>
      </c>
      <c r="AM12" s="37">
        <f>AM5*'Key Variables'!$C$58/100</f>
        <v>32.500000000000014</v>
      </c>
      <c r="AN12" s="37">
        <f>AN5*'Key Variables'!$C$58/100</f>
        <v>33.750000000000014</v>
      </c>
      <c r="AO12" s="37">
        <f>AO5*'Key Variables'!$C$58/100</f>
        <v>35.000000000000014</v>
      </c>
      <c r="AP12" s="37">
        <f>AP5*'Key Variables'!$C$58/100</f>
        <v>36.250000000000014</v>
      </c>
      <c r="AQ12" s="37">
        <f>AQ5*'Key Variables'!$C$58/100</f>
        <v>37.500000000000014</v>
      </c>
      <c r="AR12" s="37">
        <f>AR5*'Key Variables'!$C$58/100</f>
        <v>38.750000000000014</v>
      </c>
      <c r="AS12" s="37">
        <f>AS5*'Key Variables'!$C$58/100</f>
        <v>40.000000000000014</v>
      </c>
      <c r="AT12" s="37">
        <f>AT5*'Key Variables'!$C$58/100</f>
        <v>41.250000000000021</v>
      </c>
      <c r="AU12" s="37">
        <f>AU5*'Key Variables'!$C$58/100</f>
        <v>42.500000000000021</v>
      </c>
      <c r="AV12" s="37">
        <f>AV5*'Key Variables'!$C$58/100</f>
        <v>43.750000000000021</v>
      </c>
      <c r="AW12" s="37">
        <f>AW5*'Key Variables'!$C$58/100</f>
        <v>45.000000000000021</v>
      </c>
      <c r="AX12" s="57">
        <f t="shared" si="1"/>
        <v>0.50000000000000011</v>
      </c>
    </row>
    <row r="13" spans="1:50" hidden="1" x14ac:dyDescent="0.25">
      <c r="A13" s="10" t="s">
        <v>142</v>
      </c>
      <c r="B13" s="37">
        <f>B5*'Key Variables'!$C$60/100</f>
        <v>1.25</v>
      </c>
      <c r="C13" s="37">
        <f>C5*'Key Variables'!$C$60/100</f>
        <v>2.5</v>
      </c>
      <c r="D13" s="37">
        <f>D5*'Key Variables'!$C$60/100</f>
        <v>3.75</v>
      </c>
      <c r="E13" s="37">
        <f>E5*'Key Variables'!$C$60/100</f>
        <v>5</v>
      </c>
      <c r="F13" s="37">
        <f>F5*'Key Variables'!$C$60/100</f>
        <v>6.25</v>
      </c>
      <c r="G13" s="37">
        <f>G5*'Key Variables'!$C$60/100</f>
        <v>7.5</v>
      </c>
      <c r="H13" s="37">
        <f>H5*'Key Variables'!$C$60/100</f>
        <v>8.75</v>
      </c>
      <c r="I13" s="37">
        <f>I5*'Key Variables'!$C$60/100</f>
        <v>10</v>
      </c>
      <c r="J13" s="37">
        <f>J5*'Key Variables'!$C$60/100</f>
        <v>11.25</v>
      </c>
      <c r="K13" s="37">
        <f>K5*'Key Variables'!$C$60/100</f>
        <v>12.5</v>
      </c>
      <c r="L13" s="37">
        <f>L5*'Key Variables'!$C$60/100</f>
        <v>13.75</v>
      </c>
      <c r="M13" s="37">
        <f>M5*'Key Variables'!$C$60/100</f>
        <v>15</v>
      </c>
      <c r="N13" s="37">
        <f>N5*'Key Variables'!$C$60/100</f>
        <v>16.666666666666668</v>
      </c>
      <c r="O13" s="37">
        <f>O5*'Key Variables'!$C$60/100</f>
        <v>18.333333333333336</v>
      </c>
      <c r="P13" s="37">
        <f>P5*'Key Variables'!$C$60/100</f>
        <v>20.000000000000004</v>
      </c>
      <c r="Q13" s="37">
        <f>Q5*'Key Variables'!$C$60/100</f>
        <v>21.666666666666671</v>
      </c>
      <c r="R13" s="37">
        <f>R5*'Key Variables'!$C$60/100</f>
        <v>23.333333333333339</v>
      </c>
      <c r="S13" s="37">
        <f>S5*'Key Variables'!$C$60/100</f>
        <v>25.000000000000011</v>
      </c>
      <c r="T13" s="37">
        <f>T5*'Key Variables'!$C$60/100</f>
        <v>26.666666666666675</v>
      </c>
      <c r="U13" s="37">
        <f>U5*'Key Variables'!$C$60/100</f>
        <v>28.333333333333343</v>
      </c>
      <c r="V13" s="37">
        <f>V5*'Key Variables'!$C$60/100</f>
        <v>30.000000000000011</v>
      </c>
      <c r="W13" s="37">
        <f>W5*'Key Variables'!$C$60/100</f>
        <v>31.666666666666679</v>
      </c>
      <c r="X13" s="37">
        <f>X5*'Key Variables'!$C$60/100</f>
        <v>33.333333333333343</v>
      </c>
      <c r="Y13" s="37">
        <f>Y5*'Key Variables'!$C$60/100</f>
        <v>35.000000000000007</v>
      </c>
      <c r="Z13" s="37">
        <f>Z5*'Key Variables'!$C$60/100</f>
        <v>37.083333333333343</v>
      </c>
      <c r="AA13" s="37">
        <f>AA5*'Key Variables'!$C$60/100</f>
        <v>39.166666666666679</v>
      </c>
      <c r="AB13" s="37">
        <f>AB5*'Key Variables'!$C$60/100</f>
        <v>41.250000000000021</v>
      </c>
      <c r="AC13" s="37">
        <f>AC5*'Key Variables'!$C$60/100</f>
        <v>43.33333333333335</v>
      </c>
      <c r="AD13" s="37">
        <f>AD5*'Key Variables'!$C$60/100</f>
        <v>45.416666666666686</v>
      </c>
      <c r="AE13" s="37">
        <f>AE5*'Key Variables'!$C$60/100</f>
        <v>47.500000000000021</v>
      </c>
      <c r="AF13" s="37">
        <f>AF5*'Key Variables'!$C$60/100</f>
        <v>49.583333333333357</v>
      </c>
      <c r="AG13" s="37">
        <f>AG5*'Key Variables'!$C$60/100</f>
        <v>51.6666666666667</v>
      </c>
      <c r="AH13" s="37">
        <f>AH5*'Key Variables'!$C$60/100</f>
        <v>53.750000000000028</v>
      </c>
      <c r="AI13" s="37">
        <f>AI5*'Key Variables'!$C$60/100</f>
        <v>55.833333333333364</v>
      </c>
      <c r="AJ13" s="37">
        <f>AJ5*'Key Variables'!$C$60/100</f>
        <v>57.9166666666667</v>
      </c>
      <c r="AK13" s="37">
        <f>AK5*'Key Variables'!$C$60/100</f>
        <v>60.000000000000036</v>
      </c>
      <c r="AL13" s="37">
        <f>AL5*'Key Variables'!$C$60/100</f>
        <v>62.500000000000036</v>
      </c>
      <c r="AM13" s="37">
        <f>AM5*'Key Variables'!$C$60/100</f>
        <v>65.000000000000028</v>
      </c>
      <c r="AN13" s="37">
        <f>AN5*'Key Variables'!$C$60/100</f>
        <v>67.500000000000028</v>
      </c>
      <c r="AO13" s="37">
        <f>AO5*'Key Variables'!$C$60/100</f>
        <v>70.000000000000028</v>
      </c>
      <c r="AP13" s="37">
        <f>AP5*'Key Variables'!$C$60/100</f>
        <v>72.500000000000028</v>
      </c>
      <c r="AQ13" s="37">
        <f>AQ5*'Key Variables'!$C$60/100</f>
        <v>75.000000000000028</v>
      </c>
      <c r="AR13" s="37">
        <f>AR5*'Key Variables'!$C$60/100</f>
        <v>77.500000000000028</v>
      </c>
      <c r="AS13" s="37">
        <f>AS5*'Key Variables'!$C$60/100</f>
        <v>80.000000000000028</v>
      </c>
      <c r="AT13" s="37">
        <f>AT5*'Key Variables'!$C$60/100</f>
        <v>82.500000000000043</v>
      </c>
      <c r="AU13" s="37">
        <f>AU5*'Key Variables'!$C$60/100</f>
        <v>85.000000000000043</v>
      </c>
      <c r="AV13" s="37">
        <f>AV5*'Key Variables'!$C$60/100</f>
        <v>87.500000000000043</v>
      </c>
      <c r="AW13" s="37">
        <f>AW5*'Key Variables'!$C$60/100</f>
        <v>90.000000000000043</v>
      </c>
      <c r="AX13" s="57">
        <f t="shared" si="1"/>
        <v>1.0000000000000002</v>
      </c>
    </row>
    <row r="14" spans="1:50" hidden="1" x14ac:dyDescent="0.25">
      <c r="A14" s="10" t="s">
        <v>138</v>
      </c>
      <c r="B14" s="37">
        <f>B5*'Key Variables'!$C$59/100</f>
        <v>0</v>
      </c>
      <c r="C14" s="37">
        <f>C5*'Key Variables'!$C$59/100</f>
        <v>0</v>
      </c>
      <c r="D14" s="37">
        <f>D5*'Key Variables'!$C$59/100</f>
        <v>0</v>
      </c>
      <c r="E14" s="37">
        <f>E5*'Key Variables'!$C$59/100</f>
        <v>0</v>
      </c>
      <c r="F14" s="37">
        <f>F5*'Key Variables'!$C$59/100</f>
        <v>0</v>
      </c>
      <c r="G14" s="37">
        <f>G5*'Key Variables'!$C$59/100</f>
        <v>0</v>
      </c>
      <c r="H14" s="37">
        <f>H5*'Key Variables'!$C$59/100</f>
        <v>0</v>
      </c>
      <c r="I14" s="37">
        <f>I5*'Key Variables'!$C$59/100</f>
        <v>0</v>
      </c>
      <c r="J14" s="37">
        <f>J5*'Key Variables'!$C$59/100</f>
        <v>0</v>
      </c>
      <c r="K14" s="37">
        <f>K5*'Key Variables'!$C$59/100</f>
        <v>0</v>
      </c>
      <c r="L14" s="37">
        <f>L5*'Key Variables'!$C$59/100</f>
        <v>0</v>
      </c>
      <c r="M14" s="37">
        <f>M5*'Key Variables'!$C$59/100</f>
        <v>0</v>
      </c>
      <c r="N14" s="37">
        <f>N5*'Key Variables'!$C$59/100</f>
        <v>0</v>
      </c>
      <c r="O14" s="37">
        <f>O5*'Key Variables'!$C$59/100</f>
        <v>0</v>
      </c>
      <c r="P14" s="37">
        <f>P5*'Key Variables'!$C$59/100</f>
        <v>0</v>
      </c>
      <c r="Q14" s="37">
        <f>Q5*'Key Variables'!$C$59/100</f>
        <v>0</v>
      </c>
      <c r="R14" s="37">
        <f>R5*'Key Variables'!$C$59/100</f>
        <v>0</v>
      </c>
      <c r="S14" s="37">
        <f>S5*'Key Variables'!$C$59/100</f>
        <v>0</v>
      </c>
      <c r="T14" s="37">
        <f>T5*'Key Variables'!$C$59/100</f>
        <v>0</v>
      </c>
      <c r="U14" s="37">
        <f>U5*'Key Variables'!$C$59/100</f>
        <v>0</v>
      </c>
      <c r="V14" s="37">
        <f>V5*'Key Variables'!$C$59/100</f>
        <v>0</v>
      </c>
      <c r="W14" s="37">
        <f>W5*'Key Variables'!$C$59/100</f>
        <v>0</v>
      </c>
      <c r="X14" s="37">
        <f>X5*'Key Variables'!$C$59/100</f>
        <v>0</v>
      </c>
      <c r="Y14" s="37">
        <f>Y5*'Key Variables'!$C$59/100</f>
        <v>0</v>
      </c>
      <c r="Z14" s="37">
        <f>Z5*'Key Variables'!$C$59/100</f>
        <v>0</v>
      </c>
      <c r="AA14" s="37">
        <f>AA5*'Key Variables'!$C$59/100</f>
        <v>0</v>
      </c>
      <c r="AB14" s="37">
        <f>AB5*'Key Variables'!$C$59/100</f>
        <v>0</v>
      </c>
      <c r="AC14" s="37">
        <f>AC5*'Key Variables'!$C$59/100</f>
        <v>0</v>
      </c>
      <c r="AD14" s="37">
        <f>AD5*'Key Variables'!$C$59/100</f>
        <v>0</v>
      </c>
      <c r="AE14" s="37">
        <f>AE5*'Key Variables'!$C$59/100</f>
        <v>0</v>
      </c>
      <c r="AF14" s="37">
        <f>AF5*'Key Variables'!$C$59/100</f>
        <v>0</v>
      </c>
      <c r="AG14" s="37">
        <f>AG5*'Key Variables'!$C$59/100</f>
        <v>0</v>
      </c>
      <c r="AH14" s="37">
        <f>AH5*'Key Variables'!$C$59/100</f>
        <v>0</v>
      </c>
      <c r="AI14" s="37">
        <f>AI5*'Key Variables'!$C$59/100</f>
        <v>0</v>
      </c>
      <c r="AJ14" s="37">
        <f>AJ5*'Key Variables'!$C$59/100</f>
        <v>0</v>
      </c>
      <c r="AK14" s="37">
        <f>AK5*'Key Variables'!$C$59/100</f>
        <v>0</v>
      </c>
      <c r="AL14" s="37">
        <f>AL5*'Key Variables'!$C$59/100</f>
        <v>0</v>
      </c>
      <c r="AM14" s="37">
        <f>AM5*'Key Variables'!$C$59/100</f>
        <v>0</v>
      </c>
      <c r="AN14" s="37">
        <f>AN5*'Key Variables'!$C$59/100</f>
        <v>0</v>
      </c>
      <c r="AO14" s="37">
        <f>AO5*'Key Variables'!$C$59/100</f>
        <v>0</v>
      </c>
      <c r="AP14" s="37">
        <f>AP5*'Key Variables'!$C$59/100</f>
        <v>0</v>
      </c>
      <c r="AQ14" s="37">
        <f>AQ5*'Key Variables'!$C$59/100</f>
        <v>0</v>
      </c>
      <c r="AR14" s="37">
        <f>AR5*'Key Variables'!$C$59/100</f>
        <v>0</v>
      </c>
      <c r="AS14" s="37">
        <f>AS5*'Key Variables'!$C$59/100</f>
        <v>0</v>
      </c>
      <c r="AT14" s="37">
        <f>AT5*'Key Variables'!$C$59/100</f>
        <v>0</v>
      </c>
      <c r="AU14" s="37">
        <f>AU5*'Key Variables'!$C$59/100</f>
        <v>0</v>
      </c>
      <c r="AV14" s="37">
        <f>AV5*'Key Variables'!$C$59/100</f>
        <v>0</v>
      </c>
      <c r="AW14" s="37">
        <f>AW5*'Key Variables'!$C$59/100</f>
        <v>0</v>
      </c>
      <c r="AX14" s="57">
        <f t="shared" si="1"/>
        <v>0</v>
      </c>
    </row>
    <row r="15" spans="1:50" hidden="1" x14ac:dyDescent="0.25">
      <c r="A15" s="10" t="s">
        <v>172</v>
      </c>
      <c r="B15" s="37">
        <f>B14</f>
        <v>0</v>
      </c>
      <c r="C15" s="37">
        <f>C14-B14</f>
        <v>0</v>
      </c>
      <c r="D15" s="37">
        <f t="shared" ref="D15:L15" si="2">D14-C14</f>
        <v>0</v>
      </c>
      <c r="E15" s="37">
        <f t="shared" si="2"/>
        <v>0</v>
      </c>
      <c r="F15" s="37">
        <f t="shared" si="2"/>
        <v>0</v>
      </c>
      <c r="G15" s="37">
        <f t="shared" si="2"/>
        <v>0</v>
      </c>
      <c r="H15" s="37">
        <f t="shared" si="2"/>
        <v>0</v>
      </c>
      <c r="I15" s="37">
        <f t="shared" si="2"/>
        <v>0</v>
      </c>
      <c r="J15" s="37">
        <f t="shared" si="2"/>
        <v>0</v>
      </c>
      <c r="K15" s="37">
        <f t="shared" si="2"/>
        <v>0</v>
      </c>
      <c r="L15" s="37">
        <f t="shared" si="2"/>
        <v>0</v>
      </c>
      <c r="M15" s="37">
        <f t="shared" ref="M15" si="3">M14-L14</f>
        <v>0</v>
      </c>
      <c r="N15" s="37">
        <f t="shared" ref="N15" si="4">N14-M14</f>
        <v>0</v>
      </c>
      <c r="O15" s="37">
        <f t="shared" ref="O15" si="5">O14-N14</f>
        <v>0</v>
      </c>
      <c r="P15" s="37">
        <f t="shared" ref="P15" si="6">P14-O14</f>
        <v>0</v>
      </c>
      <c r="Q15" s="37">
        <f t="shared" ref="Q15" si="7">Q14-P14</f>
        <v>0</v>
      </c>
      <c r="R15" s="37">
        <f t="shared" ref="R15" si="8">R14-Q14</f>
        <v>0</v>
      </c>
      <c r="S15" s="37">
        <f t="shared" ref="S15" si="9">S14-R14</f>
        <v>0</v>
      </c>
      <c r="T15" s="37">
        <f t="shared" ref="T15:U15" si="10">T14-S14</f>
        <v>0</v>
      </c>
      <c r="U15" s="37">
        <f t="shared" si="10"/>
        <v>0</v>
      </c>
      <c r="V15" s="37">
        <f t="shared" ref="V15" si="11">V14-U14</f>
        <v>0</v>
      </c>
      <c r="W15" s="37">
        <f t="shared" ref="W15" si="12">W14-V14</f>
        <v>0</v>
      </c>
      <c r="X15" s="37">
        <f t="shared" ref="X15" si="13">X14-W14</f>
        <v>0</v>
      </c>
      <c r="Y15" s="37">
        <f t="shared" ref="Y15" si="14">Y14-X14</f>
        <v>0</v>
      </c>
      <c r="Z15" s="37">
        <f t="shared" ref="Z15" si="15">Z14-Y14</f>
        <v>0</v>
      </c>
      <c r="AA15" s="37">
        <f t="shared" ref="AA15" si="16">AA14-Z14</f>
        <v>0</v>
      </c>
      <c r="AB15" s="37">
        <f t="shared" ref="AB15" si="17">AB14-AA14</f>
        <v>0</v>
      </c>
      <c r="AC15" s="37">
        <f t="shared" ref="AC15:AD15" si="18">AC14-AB14</f>
        <v>0</v>
      </c>
      <c r="AD15" s="37">
        <f t="shared" si="18"/>
        <v>0</v>
      </c>
      <c r="AE15" s="37">
        <f t="shared" ref="AE15" si="19">AE14-AD14</f>
        <v>0</v>
      </c>
      <c r="AF15" s="37">
        <f t="shared" ref="AF15" si="20">AF14-AE14</f>
        <v>0</v>
      </c>
      <c r="AG15" s="37">
        <f t="shared" ref="AG15" si="21">AG14-AF14</f>
        <v>0</v>
      </c>
      <c r="AH15" s="37">
        <f t="shared" ref="AH15" si="22">AH14-AG14</f>
        <v>0</v>
      </c>
      <c r="AI15" s="37">
        <f t="shared" ref="AI15" si="23">AI14-AH14</f>
        <v>0</v>
      </c>
      <c r="AJ15" s="37">
        <f t="shared" ref="AJ15" si="24">AJ14-AI14</f>
        <v>0</v>
      </c>
      <c r="AK15" s="37">
        <f t="shared" ref="AK15" si="25">AK14-AJ14</f>
        <v>0</v>
      </c>
      <c r="AL15" s="37">
        <f t="shared" ref="AL15:AM15" si="26">AL14-AK14</f>
        <v>0</v>
      </c>
      <c r="AM15" s="37">
        <f t="shared" si="26"/>
        <v>0</v>
      </c>
      <c r="AN15" s="37">
        <f t="shared" ref="AN15" si="27">AN14-AM14</f>
        <v>0</v>
      </c>
      <c r="AO15" s="37">
        <f t="shared" ref="AO15" si="28">AO14-AN14</f>
        <v>0</v>
      </c>
      <c r="AP15" s="37">
        <f t="shared" ref="AP15" si="29">AP14-AO14</f>
        <v>0</v>
      </c>
      <c r="AQ15" s="37">
        <f t="shared" ref="AQ15" si="30">AQ14-AP14</f>
        <v>0</v>
      </c>
      <c r="AR15" s="37">
        <f t="shared" ref="AR15" si="31">AR14-AQ14</f>
        <v>0</v>
      </c>
      <c r="AS15" s="37">
        <f t="shared" ref="AS15" si="32">AS14-AR14</f>
        <v>0</v>
      </c>
      <c r="AT15" s="37">
        <f t="shared" ref="AT15" si="33">AT14-AS14</f>
        <v>0</v>
      </c>
      <c r="AU15" s="37">
        <f t="shared" ref="AU15:AV15" si="34">AU14-AT14</f>
        <v>0</v>
      </c>
      <c r="AV15" s="37">
        <f t="shared" si="34"/>
        <v>0</v>
      </c>
      <c r="AW15" s="37">
        <f t="shared" ref="AW15" si="35">AW14-AV14</f>
        <v>0</v>
      </c>
      <c r="AX15" s="57"/>
    </row>
    <row r="16" spans="1:50" hidden="1" x14ac:dyDescent="0.25">
      <c r="A16" s="10"/>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50" hidden="1" x14ac:dyDescent="0.25">
      <c r="A17" s="10" t="s">
        <v>110</v>
      </c>
      <c r="B17" s="39">
        <f t="shared" ref="B17:AW17" si="36">B5</f>
        <v>1.25</v>
      </c>
      <c r="C17" s="39">
        <f t="shared" si="36"/>
        <v>2.5</v>
      </c>
      <c r="D17" s="39">
        <f t="shared" si="36"/>
        <v>3.75</v>
      </c>
      <c r="E17" s="39">
        <f t="shared" si="36"/>
        <v>5</v>
      </c>
      <c r="F17" s="39">
        <f t="shared" si="36"/>
        <v>6.25</v>
      </c>
      <c r="G17" s="39">
        <f t="shared" si="36"/>
        <v>7.5</v>
      </c>
      <c r="H17" s="39">
        <f t="shared" si="36"/>
        <v>8.75</v>
      </c>
      <c r="I17" s="39">
        <f t="shared" si="36"/>
        <v>10</v>
      </c>
      <c r="J17" s="39">
        <f t="shared" si="36"/>
        <v>11.25</v>
      </c>
      <c r="K17" s="39">
        <f t="shared" si="36"/>
        <v>12.5</v>
      </c>
      <c r="L17" s="39">
        <f t="shared" si="36"/>
        <v>13.75</v>
      </c>
      <c r="M17" s="39">
        <f t="shared" si="36"/>
        <v>15</v>
      </c>
      <c r="N17" s="39">
        <f t="shared" si="36"/>
        <v>16.666666666666668</v>
      </c>
      <c r="O17" s="39">
        <f t="shared" si="36"/>
        <v>18.333333333333336</v>
      </c>
      <c r="P17" s="39">
        <f t="shared" si="36"/>
        <v>20.000000000000004</v>
      </c>
      <c r="Q17" s="39">
        <f t="shared" si="36"/>
        <v>21.666666666666671</v>
      </c>
      <c r="R17" s="39">
        <f t="shared" si="36"/>
        <v>23.333333333333339</v>
      </c>
      <c r="S17" s="39">
        <f t="shared" si="36"/>
        <v>25.000000000000007</v>
      </c>
      <c r="T17" s="39">
        <f t="shared" si="36"/>
        <v>26.666666666666675</v>
      </c>
      <c r="U17" s="39">
        <f t="shared" si="36"/>
        <v>28.333333333333343</v>
      </c>
      <c r="V17" s="39">
        <f t="shared" si="36"/>
        <v>30.000000000000011</v>
      </c>
      <c r="W17" s="39">
        <f t="shared" si="36"/>
        <v>31.666666666666679</v>
      </c>
      <c r="X17" s="39">
        <f t="shared" si="36"/>
        <v>33.333333333333343</v>
      </c>
      <c r="Y17" s="39">
        <f t="shared" si="36"/>
        <v>35.000000000000007</v>
      </c>
      <c r="Z17" s="39">
        <f t="shared" si="36"/>
        <v>37.083333333333343</v>
      </c>
      <c r="AA17" s="39">
        <f t="shared" si="36"/>
        <v>39.166666666666679</v>
      </c>
      <c r="AB17" s="39">
        <f t="shared" si="36"/>
        <v>41.250000000000014</v>
      </c>
      <c r="AC17" s="39">
        <f t="shared" si="36"/>
        <v>43.33333333333335</v>
      </c>
      <c r="AD17" s="39">
        <f t="shared" si="36"/>
        <v>45.416666666666686</v>
      </c>
      <c r="AE17" s="39">
        <f t="shared" si="36"/>
        <v>47.500000000000021</v>
      </c>
      <c r="AF17" s="39">
        <f t="shared" si="36"/>
        <v>49.583333333333357</v>
      </c>
      <c r="AG17" s="39">
        <f t="shared" si="36"/>
        <v>51.666666666666693</v>
      </c>
      <c r="AH17" s="39">
        <f t="shared" si="36"/>
        <v>53.750000000000028</v>
      </c>
      <c r="AI17" s="39">
        <f t="shared" si="36"/>
        <v>55.833333333333364</v>
      </c>
      <c r="AJ17" s="39">
        <f t="shared" si="36"/>
        <v>57.9166666666667</v>
      </c>
      <c r="AK17" s="39">
        <f t="shared" si="36"/>
        <v>60.000000000000036</v>
      </c>
      <c r="AL17" s="39">
        <f t="shared" si="36"/>
        <v>62.500000000000036</v>
      </c>
      <c r="AM17" s="39">
        <f t="shared" si="36"/>
        <v>65.000000000000028</v>
      </c>
      <c r="AN17" s="39">
        <f t="shared" si="36"/>
        <v>67.500000000000028</v>
      </c>
      <c r="AO17" s="39">
        <f t="shared" si="36"/>
        <v>70.000000000000028</v>
      </c>
      <c r="AP17" s="39">
        <f t="shared" si="36"/>
        <v>72.500000000000028</v>
      </c>
      <c r="AQ17" s="39">
        <f t="shared" si="36"/>
        <v>75.000000000000028</v>
      </c>
      <c r="AR17" s="39">
        <f t="shared" si="36"/>
        <v>77.500000000000028</v>
      </c>
      <c r="AS17" s="39">
        <f t="shared" si="36"/>
        <v>80.000000000000028</v>
      </c>
      <c r="AT17" s="39">
        <f t="shared" si="36"/>
        <v>82.500000000000028</v>
      </c>
      <c r="AU17" s="39">
        <f t="shared" si="36"/>
        <v>85.000000000000028</v>
      </c>
      <c r="AV17" s="39">
        <f t="shared" si="36"/>
        <v>87.500000000000028</v>
      </c>
      <c r="AW17" s="39">
        <f t="shared" si="36"/>
        <v>90.000000000000028</v>
      </c>
    </row>
    <row r="18" spans="1:50" hidden="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row>
    <row r="19" spans="1:50" hidden="1" x14ac:dyDescent="0.25">
      <c r="A19" s="10" t="s">
        <v>123</v>
      </c>
      <c r="B19" s="51">
        <f>(B9*'Key Variables'!$C$84)</f>
        <v>6.25</v>
      </c>
      <c r="C19" s="56">
        <f>(C9*'Key Variables'!$C$84)</f>
        <v>12.5</v>
      </c>
      <c r="D19" s="56">
        <f>(D9*'Key Variables'!$C$84)</f>
        <v>18.75</v>
      </c>
      <c r="E19" s="27">
        <f>(E9*'Key Variables'!$C$84)</f>
        <v>25</v>
      </c>
      <c r="F19" s="27">
        <f>(F9*'Key Variables'!$C$84)</f>
        <v>31.25</v>
      </c>
      <c r="G19" s="27">
        <f>(G9*'Key Variables'!$C$84)</f>
        <v>37.5</v>
      </c>
      <c r="H19" s="27">
        <f>(H9*'Key Variables'!$C$84)</f>
        <v>43.75</v>
      </c>
      <c r="I19" s="27">
        <f>(I9*'Key Variables'!$C$84)</f>
        <v>50</v>
      </c>
      <c r="J19" s="27">
        <f>(J9*'Key Variables'!$C$84)</f>
        <v>56.25</v>
      </c>
      <c r="K19" s="27">
        <f>(K9*'Key Variables'!$C$84)</f>
        <v>62.5</v>
      </c>
      <c r="L19" s="27">
        <f>(L9*'Key Variables'!$C$84)</f>
        <v>68.75</v>
      </c>
      <c r="M19" s="27">
        <f>(M9*'Key Variables'!$C$84)</f>
        <v>75</v>
      </c>
      <c r="N19" s="27">
        <f>(N9*'Key Variables'!$C$84)</f>
        <v>83.333333333333343</v>
      </c>
      <c r="O19" s="27">
        <f>(O9*'Key Variables'!$C$84)</f>
        <v>91.666666666666686</v>
      </c>
      <c r="P19" s="27">
        <f>(P9*'Key Variables'!$C$84)</f>
        <v>100.00000000000001</v>
      </c>
      <c r="Q19" s="27">
        <f>(Q9*'Key Variables'!$C$84)</f>
        <v>108.33333333333336</v>
      </c>
      <c r="R19" s="27">
        <f>(R9*'Key Variables'!$C$84)</f>
        <v>116.6666666666667</v>
      </c>
      <c r="S19" s="27">
        <f>(S9*'Key Variables'!$C$84)</f>
        <v>125.00000000000006</v>
      </c>
      <c r="T19" s="27">
        <f>(T9*'Key Variables'!$C$84)</f>
        <v>133.33333333333337</v>
      </c>
      <c r="U19" s="27">
        <f>(U9*'Key Variables'!$C$84)</f>
        <v>141.66666666666671</v>
      </c>
      <c r="V19" s="27">
        <f>(V9*'Key Variables'!$C$84)</f>
        <v>150.00000000000006</v>
      </c>
      <c r="W19" s="27">
        <f>(W9*'Key Variables'!$C$84)</f>
        <v>158.3333333333334</v>
      </c>
      <c r="X19" s="27">
        <f>(X9*'Key Variables'!$C$84)</f>
        <v>166.66666666666671</v>
      </c>
      <c r="Y19" s="27">
        <f>(Y9*'Key Variables'!$C$84)</f>
        <v>175.00000000000003</v>
      </c>
      <c r="Z19" s="27">
        <f>(Z9*'Key Variables'!$C$84)</f>
        <v>185.41666666666671</v>
      </c>
      <c r="AA19" s="27">
        <f>(AA9*'Key Variables'!$C$84)</f>
        <v>195.8333333333334</v>
      </c>
      <c r="AB19" s="27">
        <f>(AB9*'Key Variables'!$C$84)</f>
        <v>206.25000000000011</v>
      </c>
      <c r="AC19" s="27">
        <f>(AC9*'Key Variables'!$C$84)</f>
        <v>216.66666666666674</v>
      </c>
      <c r="AD19" s="27">
        <f>(AD9*'Key Variables'!$C$84)</f>
        <v>227.08333333333343</v>
      </c>
      <c r="AE19" s="27">
        <f>(AE9*'Key Variables'!$C$84)</f>
        <v>237.50000000000011</v>
      </c>
      <c r="AF19" s="27">
        <f>(AF9*'Key Variables'!$C$84)</f>
        <v>247.9166666666668</v>
      </c>
      <c r="AG19" s="27">
        <f>(AG9*'Key Variables'!$C$84)</f>
        <v>258.33333333333348</v>
      </c>
      <c r="AH19" s="27">
        <f>(AH9*'Key Variables'!$C$84)</f>
        <v>268.75000000000011</v>
      </c>
      <c r="AI19" s="27">
        <f>(AI9*'Key Variables'!$C$84)</f>
        <v>279.1666666666668</v>
      </c>
      <c r="AJ19" s="27">
        <f>(AJ9*'Key Variables'!$C$84)</f>
        <v>289.58333333333348</v>
      </c>
      <c r="AK19" s="27">
        <f>(AK9*'Key Variables'!$C$84)</f>
        <v>300.00000000000017</v>
      </c>
      <c r="AL19" s="27">
        <f>(AL9*'Key Variables'!$C$84)</f>
        <v>312.50000000000017</v>
      </c>
      <c r="AM19" s="27">
        <f>(AM9*'Key Variables'!$C$84)</f>
        <v>325.00000000000011</v>
      </c>
      <c r="AN19" s="27">
        <f>(AN9*'Key Variables'!$C$84)</f>
        <v>337.50000000000011</v>
      </c>
      <c r="AO19" s="27">
        <f>(AO9*'Key Variables'!$C$84)</f>
        <v>350.00000000000011</v>
      </c>
      <c r="AP19" s="27">
        <f>(AP9*'Key Variables'!$C$84)</f>
        <v>362.50000000000011</v>
      </c>
      <c r="AQ19" s="27">
        <f>(AQ9*'Key Variables'!$C$84)</f>
        <v>375.00000000000011</v>
      </c>
      <c r="AR19" s="27">
        <f>(AR9*'Key Variables'!$C$84)</f>
        <v>387.50000000000011</v>
      </c>
      <c r="AS19" s="27">
        <f>(AS9*'Key Variables'!$C$84)</f>
        <v>400.00000000000011</v>
      </c>
      <c r="AT19" s="27">
        <f>(AT9*'Key Variables'!$C$84)</f>
        <v>412.50000000000023</v>
      </c>
      <c r="AU19" s="27">
        <f>(AU9*'Key Variables'!$C$84)</f>
        <v>425.00000000000023</v>
      </c>
      <c r="AV19" s="27">
        <f>(AV9*'Key Variables'!$C$84)</f>
        <v>437.50000000000023</v>
      </c>
      <c r="AW19" s="27">
        <f>(AW9*'Key Variables'!$C$84)</f>
        <v>450.00000000000023</v>
      </c>
      <c r="AX19" s="57">
        <f>AW19/$AW$7</f>
        <v>0.25000000000000006</v>
      </c>
    </row>
    <row r="20" spans="1:50" hidden="1" x14ac:dyDescent="0.25">
      <c r="A20" s="10" t="s">
        <v>124</v>
      </c>
      <c r="B20" s="51">
        <f>(B10*'Key Variables'!$C$84)</f>
        <v>0</v>
      </c>
      <c r="C20" s="51">
        <f>(C10*'Key Variables'!$C$84)</f>
        <v>0</v>
      </c>
      <c r="D20" s="51">
        <f>(D10*'Key Variables'!$C$84)</f>
        <v>0</v>
      </c>
      <c r="E20" s="51">
        <f>(E10*'Key Variables'!$C$84)</f>
        <v>0</v>
      </c>
      <c r="F20" s="51">
        <f>(F10*'Key Variables'!$C$84)</f>
        <v>0</v>
      </c>
      <c r="G20" s="51">
        <f>(G10*'Key Variables'!$C$84)</f>
        <v>0</v>
      </c>
      <c r="H20" s="51">
        <f>(H10*'Key Variables'!$C$84)</f>
        <v>0</v>
      </c>
      <c r="I20" s="51">
        <f>(I10*'Key Variables'!$C$84)</f>
        <v>0</v>
      </c>
      <c r="J20" s="51">
        <f>(J10*'Key Variables'!$C$84)</f>
        <v>0</v>
      </c>
      <c r="K20" s="51">
        <f>(K10*'Key Variables'!$C$84)</f>
        <v>0</v>
      </c>
      <c r="L20" s="51">
        <f>(L10*'Key Variables'!$C$84)</f>
        <v>0</v>
      </c>
      <c r="M20" s="51">
        <f>(M10*'Key Variables'!$C$84)</f>
        <v>0</v>
      </c>
      <c r="N20" s="51">
        <f>(N10*'Key Variables'!$C$84)</f>
        <v>0</v>
      </c>
      <c r="O20" s="51">
        <f>(O10*'Key Variables'!$C$84)</f>
        <v>0</v>
      </c>
      <c r="P20" s="51">
        <f>(P10*'Key Variables'!$C$84)</f>
        <v>0</v>
      </c>
      <c r="Q20" s="51">
        <f>(Q10*'Key Variables'!$C$84)</f>
        <v>0</v>
      </c>
      <c r="R20" s="51">
        <f>(R10*'Key Variables'!$C$84)</f>
        <v>0</v>
      </c>
      <c r="S20" s="51">
        <f>(S10*'Key Variables'!$C$84)</f>
        <v>0</v>
      </c>
      <c r="T20" s="51">
        <f>(T10*'Key Variables'!$C$84)</f>
        <v>0</v>
      </c>
      <c r="U20" s="51">
        <f>(U10*'Key Variables'!$C$84)</f>
        <v>0</v>
      </c>
      <c r="V20" s="51">
        <f>(V10*'Key Variables'!$C$84)</f>
        <v>0</v>
      </c>
      <c r="W20" s="51">
        <f>(W10*'Key Variables'!$C$84)</f>
        <v>0</v>
      </c>
      <c r="X20" s="51">
        <f>(X10*'Key Variables'!$C$84)</f>
        <v>0</v>
      </c>
      <c r="Y20" s="51">
        <f>(Y10*'Key Variables'!$C$84)</f>
        <v>0</v>
      </c>
      <c r="Z20" s="51">
        <f>(Z10*'Key Variables'!$C$84)</f>
        <v>0</v>
      </c>
      <c r="AA20" s="51">
        <f>(AA10*'Key Variables'!$C$84)</f>
        <v>0</v>
      </c>
      <c r="AB20" s="51">
        <f>(AB10*'Key Variables'!$C$84)</f>
        <v>0</v>
      </c>
      <c r="AC20" s="51">
        <f>(AC10*'Key Variables'!$C$84)</f>
        <v>0</v>
      </c>
      <c r="AD20" s="51">
        <f>(AD10*'Key Variables'!$C$84)</f>
        <v>0</v>
      </c>
      <c r="AE20" s="51">
        <f>(AE10*'Key Variables'!$C$84)</f>
        <v>0</v>
      </c>
      <c r="AF20" s="51">
        <f>(AF10*'Key Variables'!$C$84)</f>
        <v>0</v>
      </c>
      <c r="AG20" s="51">
        <f>(AG10*'Key Variables'!$C$84)</f>
        <v>0</v>
      </c>
      <c r="AH20" s="51">
        <f>(AH10*'Key Variables'!$C$84)</f>
        <v>0</v>
      </c>
      <c r="AI20" s="51">
        <f>(AI10*'Key Variables'!$C$84)</f>
        <v>0</v>
      </c>
      <c r="AJ20" s="51">
        <f>(AJ10*'Key Variables'!$C$84)</f>
        <v>0</v>
      </c>
      <c r="AK20" s="51">
        <f>(AK10*'Key Variables'!$C$84)</f>
        <v>0</v>
      </c>
      <c r="AL20" s="51">
        <f>(AL10*'Key Variables'!$C$84)</f>
        <v>0</v>
      </c>
      <c r="AM20" s="51">
        <f>(AM10*'Key Variables'!$C$84)</f>
        <v>0</v>
      </c>
      <c r="AN20" s="51">
        <f>(AN10*'Key Variables'!$C$84)</f>
        <v>0</v>
      </c>
      <c r="AO20" s="51">
        <f>(AO10*'Key Variables'!$C$84)</f>
        <v>0</v>
      </c>
      <c r="AP20" s="51">
        <f>(AP10*'Key Variables'!$C$84)</f>
        <v>0</v>
      </c>
      <c r="AQ20" s="51">
        <f>(AQ10*'Key Variables'!$C$84)</f>
        <v>0</v>
      </c>
      <c r="AR20" s="51">
        <f>(AR10*'Key Variables'!$C$84)</f>
        <v>0</v>
      </c>
      <c r="AS20" s="51">
        <f>(AS10*'Key Variables'!$C$84)</f>
        <v>0</v>
      </c>
      <c r="AT20" s="51">
        <f>(AT10*'Key Variables'!$C$84)</f>
        <v>0</v>
      </c>
      <c r="AU20" s="51">
        <f>(AU10*'Key Variables'!$C$84)</f>
        <v>0</v>
      </c>
      <c r="AV20" s="51">
        <f>(AV10*'Key Variables'!$C$84)</f>
        <v>0</v>
      </c>
      <c r="AW20" s="58">
        <f>(AW10*'Key Variables'!$C$84)</f>
        <v>0</v>
      </c>
      <c r="AX20" s="57">
        <f>AW20/$AW$7</f>
        <v>0</v>
      </c>
    </row>
    <row r="21" spans="1:50" hidden="1" x14ac:dyDescent="0.25">
      <c r="A21" s="10" t="s">
        <v>185</v>
      </c>
      <c r="B21" s="51">
        <f>(B11*'Key Variables'!$C$7)</f>
        <v>25</v>
      </c>
      <c r="C21" s="51">
        <f>(C11*'Key Variables'!$C$7)</f>
        <v>50</v>
      </c>
      <c r="D21" s="51">
        <f>(D11*'Key Variables'!$C$7)</f>
        <v>75</v>
      </c>
      <c r="E21" s="51">
        <f>(E11*'Key Variables'!$C$7)</f>
        <v>100</v>
      </c>
      <c r="F21" s="51">
        <f>(F11*'Key Variables'!$C$7)</f>
        <v>125</v>
      </c>
      <c r="G21" s="51">
        <f>(G11*'Key Variables'!$C$7)</f>
        <v>150</v>
      </c>
      <c r="H21" s="51">
        <f>(H11*'Key Variables'!$C$7)</f>
        <v>175</v>
      </c>
      <c r="I21" s="51">
        <f>(I11*'Key Variables'!$C$7)</f>
        <v>200</v>
      </c>
      <c r="J21" s="51">
        <f>(J11*'Key Variables'!$C$7)</f>
        <v>225</v>
      </c>
      <c r="K21" s="51">
        <f>(K11*'Key Variables'!$C$7)</f>
        <v>250</v>
      </c>
      <c r="L21" s="51">
        <f>(L11*'Key Variables'!$C$7)</f>
        <v>275</v>
      </c>
      <c r="M21" s="51">
        <f>(M11*'Key Variables'!$C$7)</f>
        <v>300</v>
      </c>
      <c r="N21" s="51">
        <f>(N11*'Key Variables'!$C$7)</f>
        <v>333.33333333333337</v>
      </c>
      <c r="O21" s="51">
        <f>(O11*'Key Variables'!$C$7)</f>
        <v>366.66666666666674</v>
      </c>
      <c r="P21" s="51">
        <f>(P11*'Key Variables'!$C$7)</f>
        <v>400.00000000000006</v>
      </c>
      <c r="Q21" s="51">
        <f>(Q11*'Key Variables'!$C$7)</f>
        <v>433.33333333333343</v>
      </c>
      <c r="R21" s="51">
        <f>(R11*'Key Variables'!$C$7)</f>
        <v>466.6666666666668</v>
      </c>
      <c r="S21" s="51">
        <f>(S11*'Key Variables'!$C$7)</f>
        <v>500.00000000000023</v>
      </c>
      <c r="T21" s="51">
        <f>(T11*'Key Variables'!$C$7)</f>
        <v>533.33333333333348</v>
      </c>
      <c r="U21" s="51">
        <f>(U11*'Key Variables'!$C$7)</f>
        <v>566.66666666666686</v>
      </c>
      <c r="V21" s="51">
        <f>(V11*'Key Variables'!$C$7)</f>
        <v>600.00000000000023</v>
      </c>
      <c r="W21" s="51">
        <f>(W11*'Key Variables'!$C$7)</f>
        <v>633.3333333333336</v>
      </c>
      <c r="X21" s="51">
        <f>(X11*'Key Variables'!$C$7)</f>
        <v>666.66666666666686</v>
      </c>
      <c r="Y21" s="51">
        <f>(Y11*'Key Variables'!$C$7)</f>
        <v>700.00000000000011</v>
      </c>
      <c r="Z21" s="51">
        <f>(Z11*'Key Variables'!$C$7)</f>
        <v>741.66666666666686</v>
      </c>
      <c r="AA21" s="51">
        <f>(AA11*'Key Variables'!$C$7)</f>
        <v>783.3333333333336</v>
      </c>
      <c r="AB21" s="51">
        <f>(AB11*'Key Variables'!$C$7)</f>
        <v>825.00000000000045</v>
      </c>
      <c r="AC21" s="51">
        <f>(AC11*'Key Variables'!$C$7)</f>
        <v>866.66666666666697</v>
      </c>
      <c r="AD21" s="51">
        <f>(AD11*'Key Variables'!$C$7)</f>
        <v>908.33333333333371</v>
      </c>
      <c r="AE21" s="51">
        <f>(AE11*'Key Variables'!$C$7)</f>
        <v>950.00000000000045</v>
      </c>
      <c r="AF21" s="51">
        <f>(AF11*'Key Variables'!$C$7)</f>
        <v>991.6666666666672</v>
      </c>
      <c r="AG21" s="51">
        <f>(AG11*'Key Variables'!$C$7)</f>
        <v>1033.3333333333339</v>
      </c>
      <c r="AH21" s="51">
        <f>(AH11*'Key Variables'!$C$7)</f>
        <v>1075.0000000000005</v>
      </c>
      <c r="AI21" s="51">
        <f>(AI11*'Key Variables'!$C$7)</f>
        <v>1116.6666666666672</v>
      </c>
      <c r="AJ21" s="51">
        <f>(AJ11*'Key Variables'!$C$7)</f>
        <v>1158.3333333333339</v>
      </c>
      <c r="AK21" s="51">
        <f>(AK11*'Key Variables'!$C$7)</f>
        <v>1200.0000000000007</v>
      </c>
      <c r="AL21" s="51">
        <f>(AL11*'Key Variables'!$C$7)</f>
        <v>1250.0000000000007</v>
      </c>
      <c r="AM21" s="51">
        <f>(AM11*'Key Variables'!$C$7)</f>
        <v>1300.0000000000005</v>
      </c>
      <c r="AN21" s="51">
        <f>(AN11*'Key Variables'!$C$7)</f>
        <v>1350.0000000000005</v>
      </c>
      <c r="AO21" s="51">
        <f>(AO11*'Key Variables'!$C$7)</f>
        <v>1400.0000000000005</v>
      </c>
      <c r="AP21" s="51">
        <f>(AP11*'Key Variables'!$C$7)</f>
        <v>1450.0000000000005</v>
      </c>
      <c r="AQ21" s="51">
        <f>(AQ11*'Key Variables'!$C$7)</f>
        <v>1500.0000000000005</v>
      </c>
      <c r="AR21" s="51">
        <f>(AR11*'Key Variables'!$C$7)</f>
        <v>1550.0000000000005</v>
      </c>
      <c r="AS21" s="51">
        <f>(AS11*'Key Variables'!$C$7)</f>
        <v>1600.0000000000005</v>
      </c>
      <c r="AT21" s="51">
        <f>(AT11*'Key Variables'!$C$7)</f>
        <v>1650.0000000000009</v>
      </c>
      <c r="AU21" s="51">
        <f>(AU11*'Key Variables'!$C$7)</f>
        <v>1700.0000000000009</v>
      </c>
      <c r="AV21" s="51">
        <f>(AV11*'Key Variables'!$C$7)</f>
        <v>1750.0000000000009</v>
      </c>
      <c r="AW21" s="51">
        <f>(AW11*'Key Variables'!$C$7)</f>
        <v>1800.0000000000009</v>
      </c>
      <c r="AX21" s="57">
        <f t="shared" ref="AX21:AX24" si="37">AW21/$AW$7</f>
        <v>1.0000000000000002</v>
      </c>
    </row>
    <row r="22" spans="1:50" hidden="1" x14ac:dyDescent="0.25">
      <c r="A22" s="10" t="s">
        <v>125</v>
      </c>
      <c r="B22" s="51">
        <f>(B12*'Key Variables'!$C$84)</f>
        <v>12.5</v>
      </c>
      <c r="C22" s="51">
        <f>(C12*'Key Variables'!$C$84)</f>
        <v>25</v>
      </c>
      <c r="D22" s="51">
        <f>(D12*'Key Variables'!$C$84)</f>
        <v>37.5</v>
      </c>
      <c r="E22" s="51">
        <f>(E12*'Key Variables'!$C$84)</f>
        <v>50</v>
      </c>
      <c r="F22" s="51">
        <f>(F12*'Key Variables'!$C$84)</f>
        <v>62.5</v>
      </c>
      <c r="G22" s="51">
        <f>(G12*'Key Variables'!$C$84)</f>
        <v>75</v>
      </c>
      <c r="H22" s="51">
        <f>(H12*'Key Variables'!$C$84)</f>
        <v>87.5</v>
      </c>
      <c r="I22" s="51">
        <f>(I12*'Key Variables'!$C$84)</f>
        <v>100</v>
      </c>
      <c r="J22" s="51">
        <f>(J12*'Key Variables'!$C$84)</f>
        <v>112.5</v>
      </c>
      <c r="K22" s="51">
        <f>(K12*'Key Variables'!$C$84)</f>
        <v>125</v>
      </c>
      <c r="L22" s="51">
        <f>(L12*'Key Variables'!$C$84)</f>
        <v>137.5</v>
      </c>
      <c r="M22" s="51">
        <f>(M12*'Key Variables'!$C$84)</f>
        <v>150</v>
      </c>
      <c r="N22" s="51">
        <f>(N12*'Key Variables'!$C$84)</f>
        <v>166.66666666666669</v>
      </c>
      <c r="O22" s="51">
        <f>(O12*'Key Variables'!$C$84)</f>
        <v>183.33333333333337</v>
      </c>
      <c r="P22" s="51">
        <f>(P12*'Key Variables'!$C$84)</f>
        <v>200.00000000000003</v>
      </c>
      <c r="Q22" s="51">
        <f>(Q12*'Key Variables'!$C$84)</f>
        <v>216.66666666666671</v>
      </c>
      <c r="R22" s="51">
        <f>(R12*'Key Variables'!$C$84)</f>
        <v>233.3333333333334</v>
      </c>
      <c r="S22" s="51">
        <f>(S12*'Key Variables'!$C$84)</f>
        <v>250.00000000000011</v>
      </c>
      <c r="T22" s="51">
        <f>(T12*'Key Variables'!$C$84)</f>
        <v>266.66666666666674</v>
      </c>
      <c r="U22" s="51">
        <f>(U12*'Key Variables'!$C$84)</f>
        <v>283.33333333333343</v>
      </c>
      <c r="V22" s="51">
        <f>(V12*'Key Variables'!$C$84)</f>
        <v>300.00000000000011</v>
      </c>
      <c r="W22" s="51">
        <f>(W12*'Key Variables'!$C$84)</f>
        <v>316.6666666666668</v>
      </c>
      <c r="X22" s="51">
        <f>(X12*'Key Variables'!$C$84)</f>
        <v>333.33333333333343</v>
      </c>
      <c r="Y22" s="51">
        <f>(Y12*'Key Variables'!$C$84)</f>
        <v>350.00000000000006</v>
      </c>
      <c r="Z22" s="51">
        <f>(Z12*'Key Variables'!$C$84)</f>
        <v>370.83333333333343</v>
      </c>
      <c r="AA22" s="51">
        <f>(AA12*'Key Variables'!$C$84)</f>
        <v>391.6666666666668</v>
      </c>
      <c r="AB22" s="51">
        <f>(AB12*'Key Variables'!$C$84)</f>
        <v>412.50000000000023</v>
      </c>
      <c r="AC22" s="51">
        <f>(AC12*'Key Variables'!$C$84)</f>
        <v>433.33333333333348</v>
      </c>
      <c r="AD22" s="51">
        <f>(AD12*'Key Variables'!$C$84)</f>
        <v>454.16666666666686</v>
      </c>
      <c r="AE22" s="51">
        <f>(AE12*'Key Variables'!$C$84)</f>
        <v>475.00000000000023</v>
      </c>
      <c r="AF22" s="51">
        <f>(AF12*'Key Variables'!$C$84)</f>
        <v>495.8333333333336</v>
      </c>
      <c r="AG22" s="51">
        <f>(AG12*'Key Variables'!$C$84)</f>
        <v>516.66666666666697</v>
      </c>
      <c r="AH22" s="51">
        <f>(AH12*'Key Variables'!$C$84)</f>
        <v>537.50000000000023</v>
      </c>
      <c r="AI22" s="51">
        <f>(AI12*'Key Variables'!$C$84)</f>
        <v>558.3333333333336</v>
      </c>
      <c r="AJ22" s="51">
        <f>(AJ12*'Key Variables'!$C$84)</f>
        <v>579.16666666666697</v>
      </c>
      <c r="AK22" s="51">
        <f>(AK12*'Key Variables'!$C$84)</f>
        <v>600.00000000000034</v>
      </c>
      <c r="AL22" s="51">
        <f>(AL12*'Key Variables'!$C$84)</f>
        <v>625.00000000000034</v>
      </c>
      <c r="AM22" s="51">
        <f>(AM12*'Key Variables'!$C$84)</f>
        <v>650.00000000000023</v>
      </c>
      <c r="AN22" s="51">
        <f>(AN12*'Key Variables'!$C$84)</f>
        <v>675.00000000000023</v>
      </c>
      <c r="AO22" s="51">
        <f>(AO12*'Key Variables'!$C$84)</f>
        <v>700.00000000000023</v>
      </c>
      <c r="AP22" s="51">
        <f>(AP12*'Key Variables'!$C$84)</f>
        <v>725.00000000000023</v>
      </c>
      <c r="AQ22" s="51">
        <f>(AQ12*'Key Variables'!$C$84)</f>
        <v>750.00000000000023</v>
      </c>
      <c r="AR22" s="51">
        <f>(AR12*'Key Variables'!$C$84)</f>
        <v>775.00000000000023</v>
      </c>
      <c r="AS22" s="51">
        <f>(AS12*'Key Variables'!$C$84)</f>
        <v>800.00000000000023</v>
      </c>
      <c r="AT22" s="51">
        <f>(AT12*'Key Variables'!$C$84)</f>
        <v>825.00000000000045</v>
      </c>
      <c r="AU22" s="51">
        <f>(AU12*'Key Variables'!$C$84)</f>
        <v>850.00000000000045</v>
      </c>
      <c r="AV22" s="51">
        <f>(AV12*'Key Variables'!$C$84)</f>
        <v>875.00000000000045</v>
      </c>
      <c r="AW22" s="51">
        <f>(AW12*'Key Variables'!$C$84)</f>
        <v>900.00000000000045</v>
      </c>
      <c r="AX22" s="57">
        <f t="shared" si="37"/>
        <v>0.50000000000000011</v>
      </c>
    </row>
    <row r="23" spans="1:50" hidden="1" x14ac:dyDescent="0.25">
      <c r="A23" s="10" t="s">
        <v>145</v>
      </c>
      <c r="B23" s="51">
        <f>B13*'Key Variables'!$C$84</f>
        <v>25</v>
      </c>
      <c r="C23" s="51">
        <f>C13*'Key Variables'!$C$84</f>
        <v>50</v>
      </c>
      <c r="D23" s="51">
        <f>D13*'Key Variables'!$C$84</f>
        <v>75</v>
      </c>
      <c r="E23" s="51">
        <f>E13*'Key Variables'!$C$84</f>
        <v>100</v>
      </c>
      <c r="F23" s="51">
        <f>F13*'Key Variables'!$C$84</f>
        <v>125</v>
      </c>
      <c r="G23" s="51">
        <f>G13*'Key Variables'!$C$84</f>
        <v>150</v>
      </c>
      <c r="H23" s="51">
        <f>H13*'Key Variables'!$C$84</f>
        <v>175</v>
      </c>
      <c r="I23" s="51">
        <f>I13*'Key Variables'!$C$84</f>
        <v>200</v>
      </c>
      <c r="J23" s="51">
        <f>J13*'Key Variables'!$C$84</f>
        <v>225</v>
      </c>
      <c r="K23" s="51">
        <f>K13*'Key Variables'!$C$84</f>
        <v>250</v>
      </c>
      <c r="L23" s="51">
        <f>L13*'Key Variables'!$C$84</f>
        <v>275</v>
      </c>
      <c r="M23" s="51">
        <f>M13*'Key Variables'!$C$84</f>
        <v>300</v>
      </c>
      <c r="N23" s="51">
        <f>N13*'Key Variables'!$C$84</f>
        <v>333.33333333333337</v>
      </c>
      <c r="O23" s="51">
        <f>O13*'Key Variables'!$C$84</f>
        <v>366.66666666666674</v>
      </c>
      <c r="P23" s="51">
        <f>P13*'Key Variables'!$C$84</f>
        <v>400.00000000000006</v>
      </c>
      <c r="Q23" s="51">
        <f>Q13*'Key Variables'!$C$84</f>
        <v>433.33333333333343</v>
      </c>
      <c r="R23" s="51">
        <f>R13*'Key Variables'!$C$84</f>
        <v>466.6666666666668</v>
      </c>
      <c r="S23" s="51">
        <f>S13*'Key Variables'!$C$84</f>
        <v>500.00000000000023</v>
      </c>
      <c r="T23" s="51">
        <f>T13*'Key Variables'!$C$84</f>
        <v>533.33333333333348</v>
      </c>
      <c r="U23" s="51">
        <f>U13*'Key Variables'!$C$84</f>
        <v>566.66666666666686</v>
      </c>
      <c r="V23" s="51">
        <f>V13*'Key Variables'!$C$84</f>
        <v>600.00000000000023</v>
      </c>
      <c r="W23" s="51">
        <f>W13*'Key Variables'!$C$84</f>
        <v>633.3333333333336</v>
      </c>
      <c r="X23" s="51">
        <f>X13*'Key Variables'!$C$84</f>
        <v>666.66666666666686</v>
      </c>
      <c r="Y23" s="51">
        <f>Y13*'Key Variables'!$C$84</f>
        <v>700.00000000000011</v>
      </c>
      <c r="Z23" s="51">
        <f>Z13*'Key Variables'!$C$84</f>
        <v>741.66666666666686</v>
      </c>
      <c r="AA23" s="51">
        <f>AA13*'Key Variables'!$C$84</f>
        <v>783.3333333333336</v>
      </c>
      <c r="AB23" s="51">
        <f>AB13*'Key Variables'!$C$84</f>
        <v>825.00000000000045</v>
      </c>
      <c r="AC23" s="51">
        <f>AC13*'Key Variables'!$C$84</f>
        <v>866.66666666666697</v>
      </c>
      <c r="AD23" s="51">
        <f>AD13*'Key Variables'!$C$84</f>
        <v>908.33333333333371</v>
      </c>
      <c r="AE23" s="51">
        <f>AE13*'Key Variables'!$C$84</f>
        <v>950.00000000000045</v>
      </c>
      <c r="AF23" s="51">
        <f>AF13*'Key Variables'!$C$84</f>
        <v>991.6666666666672</v>
      </c>
      <c r="AG23" s="51">
        <f>AG13*'Key Variables'!$C$84</f>
        <v>1033.3333333333339</v>
      </c>
      <c r="AH23" s="51">
        <f>AH13*'Key Variables'!$C$84</f>
        <v>1075.0000000000005</v>
      </c>
      <c r="AI23" s="51">
        <f>AI13*'Key Variables'!$C$84</f>
        <v>1116.6666666666672</v>
      </c>
      <c r="AJ23" s="51">
        <f>AJ13*'Key Variables'!$C$84</f>
        <v>1158.3333333333339</v>
      </c>
      <c r="AK23" s="51">
        <f>AK13*'Key Variables'!$C$84</f>
        <v>1200.0000000000007</v>
      </c>
      <c r="AL23" s="51">
        <f>AL13*'Key Variables'!$C$84</f>
        <v>1250.0000000000007</v>
      </c>
      <c r="AM23" s="51">
        <f>AM13*'Key Variables'!$C$84</f>
        <v>1300.0000000000005</v>
      </c>
      <c r="AN23" s="51">
        <f>AN13*'Key Variables'!$C$84</f>
        <v>1350.0000000000005</v>
      </c>
      <c r="AO23" s="51">
        <f>AO13*'Key Variables'!$C$84</f>
        <v>1400.0000000000005</v>
      </c>
      <c r="AP23" s="51">
        <f>AP13*'Key Variables'!$C$84</f>
        <v>1450.0000000000005</v>
      </c>
      <c r="AQ23" s="51">
        <f>AQ13*'Key Variables'!$C$84</f>
        <v>1500.0000000000005</v>
      </c>
      <c r="AR23" s="51">
        <f>AR13*'Key Variables'!$C$84</f>
        <v>1550.0000000000005</v>
      </c>
      <c r="AS23" s="51">
        <f>AS13*'Key Variables'!$C$84</f>
        <v>1600.0000000000005</v>
      </c>
      <c r="AT23" s="51">
        <f>AT13*'Key Variables'!$C$84</f>
        <v>1650.0000000000009</v>
      </c>
      <c r="AU23" s="51">
        <f>AU13*'Key Variables'!$C$84</f>
        <v>1700.0000000000009</v>
      </c>
      <c r="AV23" s="51">
        <f>AV13*'Key Variables'!$C$84</f>
        <v>1750.0000000000009</v>
      </c>
      <c r="AW23" s="51">
        <f>AW13*'Key Variables'!$C$84</f>
        <v>1800.0000000000009</v>
      </c>
      <c r="AX23" s="57">
        <f t="shared" si="37"/>
        <v>1.0000000000000002</v>
      </c>
    </row>
    <row r="24" spans="1:50" hidden="1" x14ac:dyDescent="0.25">
      <c r="A24" s="10" t="s">
        <v>139</v>
      </c>
      <c r="B24" s="51">
        <f>B14*'Key Variables'!$C$84</f>
        <v>0</v>
      </c>
      <c r="C24" s="51">
        <f>C14*'Key Variables'!$C$84</f>
        <v>0</v>
      </c>
      <c r="D24" s="51">
        <f>D14*'Key Variables'!$C$84</f>
        <v>0</v>
      </c>
      <c r="E24" s="51">
        <f>E14*'Key Variables'!$C$84</f>
        <v>0</v>
      </c>
      <c r="F24" s="51">
        <f>F14*'Key Variables'!$C$84</f>
        <v>0</v>
      </c>
      <c r="G24" s="51">
        <f>G14*'Key Variables'!$C$84</f>
        <v>0</v>
      </c>
      <c r="H24" s="51">
        <f>H14*'Key Variables'!$C$84</f>
        <v>0</v>
      </c>
      <c r="I24" s="51">
        <f>I14*'Key Variables'!$C$84</f>
        <v>0</v>
      </c>
      <c r="J24" s="51">
        <f>J14*'Key Variables'!$C$84</f>
        <v>0</v>
      </c>
      <c r="K24" s="51">
        <f>K14*'Key Variables'!$C$84</f>
        <v>0</v>
      </c>
      <c r="L24" s="51">
        <f>L14*'Key Variables'!$C$84</f>
        <v>0</v>
      </c>
      <c r="M24" s="51">
        <f>M14*'Key Variables'!$C$84</f>
        <v>0</v>
      </c>
      <c r="N24" s="51">
        <f>N14*'Key Variables'!$C$84</f>
        <v>0</v>
      </c>
      <c r="O24" s="51">
        <f>O14*'Key Variables'!$C$84</f>
        <v>0</v>
      </c>
      <c r="P24" s="51">
        <f>P14*'Key Variables'!$C$84</f>
        <v>0</v>
      </c>
      <c r="Q24" s="51">
        <f>Q14*'Key Variables'!$C$84</f>
        <v>0</v>
      </c>
      <c r="R24" s="51">
        <f>R14*'Key Variables'!$C$84</f>
        <v>0</v>
      </c>
      <c r="S24" s="51">
        <f>S14*'Key Variables'!$C$84</f>
        <v>0</v>
      </c>
      <c r="T24" s="51">
        <f>T14*'Key Variables'!$C$84</f>
        <v>0</v>
      </c>
      <c r="U24" s="51">
        <f>U14*'Key Variables'!$C$84</f>
        <v>0</v>
      </c>
      <c r="V24" s="51">
        <f>V14*'Key Variables'!$C$84</f>
        <v>0</v>
      </c>
      <c r="W24" s="51">
        <f>W14*'Key Variables'!$C$84</f>
        <v>0</v>
      </c>
      <c r="X24" s="51">
        <f>X14*'Key Variables'!$C$84</f>
        <v>0</v>
      </c>
      <c r="Y24" s="51">
        <f>Y14*'Key Variables'!$C$84</f>
        <v>0</v>
      </c>
      <c r="Z24" s="51">
        <f>Z14*'Key Variables'!$C$84</f>
        <v>0</v>
      </c>
      <c r="AA24" s="51">
        <f>AA14*'Key Variables'!$C$84</f>
        <v>0</v>
      </c>
      <c r="AB24" s="51">
        <f>AB14*'Key Variables'!$C$84</f>
        <v>0</v>
      </c>
      <c r="AC24" s="51">
        <f>AC14*'Key Variables'!$C$84</f>
        <v>0</v>
      </c>
      <c r="AD24" s="51">
        <f>AD14*'Key Variables'!$C$84</f>
        <v>0</v>
      </c>
      <c r="AE24" s="51">
        <f>AE14*'Key Variables'!$C$84</f>
        <v>0</v>
      </c>
      <c r="AF24" s="51">
        <f>AF14*'Key Variables'!$C$84</f>
        <v>0</v>
      </c>
      <c r="AG24" s="51">
        <f>AG14*'Key Variables'!$C$84</f>
        <v>0</v>
      </c>
      <c r="AH24" s="51">
        <f>AH14*'Key Variables'!$C$84</f>
        <v>0</v>
      </c>
      <c r="AI24" s="51">
        <f>AI14*'Key Variables'!$C$84</f>
        <v>0</v>
      </c>
      <c r="AJ24" s="51">
        <f>AJ14*'Key Variables'!$C$84</f>
        <v>0</v>
      </c>
      <c r="AK24" s="51">
        <f>AK14*'Key Variables'!$C$84</f>
        <v>0</v>
      </c>
      <c r="AL24" s="51">
        <f>AL14*'Key Variables'!$C$84</f>
        <v>0</v>
      </c>
      <c r="AM24" s="51">
        <f>AM14*'Key Variables'!$C$84</f>
        <v>0</v>
      </c>
      <c r="AN24" s="51">
        <f>AN14*'Key Variables'!$C$84</f>
        <v>0</v>
      </c>
      <c r="AO24" s="51">
        <f>AO14*'Key Variables'!$C$84</f>
        <v>0</v>
      </c>
      <c r="AP24" s="51">
        <f>AP14*'Key Variables'!$C$84</f>
        <v>0</v>
      </c>
      <c r="AQ24" s="51">
        <f>AQ14*'Key Variables'!$C$84</f>
        <v>0</v>
      </c>
      <c r="AR24" s="51">
        <f>AR14*'Key Variables'!$C$84</f>
        <v>0</v>
      </c>
      <c r="AS24" s="51">
        <f>AS14*'Key Variables'!$C$84</f>
        <v>0</v>
      </c>
      <c r="AT24" s="51">
        <f>AT14*'Key Variables'!$C$84</f>
        <v>0</v>
      </c>
      <c r="AU24" s="51">
        <f>AU14*'Key Variables'!$C$84</f>
        <v>0</v>
      </c>
      <c r="AV24" s="51">
        <f>AV14*'Key Variables'!$C$84</f>
        <v>0</v>
      </c>
      <c r="AW24" s="51">
        <f>AW14*'Key Variables'!$C$84</f>
        <v>0</v>
      </c>
      <c r="AX24" s="57">
        <f t="shared" si="37"/>
        <v>0</v>
      </c>
    </row>
    <row r="25" spans="1:50" hidden="1" x14ac:dyDescent="0.25">
      <c r="A25" s="10"/>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row>
    <row r="26" spans="1:50" hidden="1" x14ac:dyDescent="0.25">
      <c r="A26" s="10" t="s">
        <v>121</v>
      </c>
      <c r="B26" s="36">
        <f>B4*'Key Variables'!$C$13</f>
        <v>25000</v>
      </c>
      <c r="C26" s="36">
        <f>C4*'Key Variables'!$C$13</f>
        <v>25000</v>
      </c>
      <c r="D26" s="36">
        <f>D4*'Key Variables'!$C$13</f>
        <v>25000</v>
      </c>
      <c r="E26" s="36">
        <f>E4*'Key Variables'!$C$13</f>
        <v>25000</v>
      </c>
      <c r="F26" s="36">
        <f>F4*'Key Variables'!$C$13</f>
        <v>25000</v>
      </c>
      <c r="G26" s="36">
        <f>G4*'Key Variables'!$C$13</f>
        <v>25000</v>
      </c>
      <c r="H26" s="36">
        <f>H4*'Key Variables'!$C$13</f>
        <v>25000</v>
      </c>
      <c r="I26" s="36">
        <f>I4*'Key Variables'!$C$13</f>
        <v>25000</v>
      </c>
      <c r="J26" s="36">
        <f>J4*'Key Variables'!$C$13</f>
        <v>25000</v>
      </c>
      <c r="K26" s="36">
        <f>K4*'Key Variables'!$C$13</f>
        <v>25000</v>
      </c>
      <c r="L26" s="36">
        <f>L4*'Key Variables'!$C$13</f>
        <v>25000</v>
      </c>
      <c r="M26" s="36">
        <f>M4*'Key Variables'!$C$13</f>
        <v>25000</v>
      </c>
      <c r="N26" s="36">
        <f>N4*'Key Variables'!$C$13</f>
        <v>33333.333333333336</v>
      </c>
      <c r="O26" s="36">
        <f>O4*'Key Variables'!$C$13</f>
        <v>33333.333333333336</v>
      </c>
      <c r="P26" s="36">
        <f>P4*'Key Variables'!$C$13</f>
        <v>33333.333333333336</v>
      </c>
      <c r="Q26" s="36">
        <f>Q4*'Key Variables'!$C$13</f>
        <v>33333.333333333336</v>
      </c>
      <c r="R26" s="36">
        <f>R4*'Key Variables'!$C$13</f>
        <v>33333.333333333336</v>
      </c>
      <c r="S26" s="36">
        <f>S4*'Key Variables'!$C$13</f>
        <v>33333.333333333336</v>
      </c>
      <c r="T26" s="36">
        <f>T4*'Key Variables'!$C$13</f>
        <v>33333.333333333336</v>
      </c>
      <c r="U26" s="36">
        <f>U4*'Key Variables'!$C$13</f>
        <v>33333.333333333336</v>
      </c>
      <c r="V26" s="36">
        <f>V4*'Key Variables'!$C$13</f>
        <v>33333.333333333336</v>
      </c>
      <c r="W26" s="36">
        <f>W4*'Key Variables'!$C$13</f>
        <v>33333.333333333336</v>
      </c>
      <c r="X26" s="36">
        <f>X4*'Key Variables'!$C$13</f>
        <v>33333.333333333336</v>
      </c>
      <c r="Y26" s="36">
        <f>Y4*'Key Variables'!$C$13</f>
        <v>33333.333333333336</v>
      </c>
      <c r="Z26" s="36">
        <f>Z4*'Key Variables'!$C$13</f>
        <v>41666.666666666672</v>
      </c>
      <c r="AA26" s="36">
        <f>AA4*'Key Variables'!$C$13</f>
        <v>41666.666666666672</v>
      </c>
      <c r="AB26" s="36">
        <f>AB4*'Key Variables'!$C$13</f>
        <v>41666.666666666672</v>
      </c>
      <c r="AC26" s="36">
        <f>AC4*'Key Variables'!$C$13</f>
        <v>41666.666666666672</v>
      </c>
      <c r="AD26" s="36">
        <f>AD4*'Key Variables'!$C$13</f>
        <v>41666.666666666672</v>
      </c>
      <c r="AE26" s="36">
        <f>AE4*'Key Variables'!$C$13</f>
        <v>41666.666666666672</v>
      </c>
      <c r="AF26" s="36">
        <f>AF4*'Key Variables'!$C$13</f>
        <v>41666.666666666672</v>
      </c>
      <c r="AG26" s="36">
        <f>AG4*'Key Variables'!$C$13</f>
        <v>41666.666666666672</v>
      </c>
      <c r="AH26" s="36">
        <f>AH4*'Key Variables'!$C$13</f>
        <v>41666.666666666672</v>
      </c>
      <c r="AI26" s="36">
        <f>AI4*'Key Variables'!$C$13</f>
        <v>41666.666666666672</v>
      </c>
      <c r="AJ26" s="36">
        <f>AJ4*'Key Variables'!$C$13</f>
        <v>41666.666666666672</v>
      </c>
      <c r="AK26" s="36">
        <f>AK4*'Key Variables'!$C$13</f>
        <v>41666.666666666672</v>
      </c>
      <c r="AL26" s="36">
        <f>AL4*'Key Variables'!$C$13</f>
        <v>50000</v>
      </c>
      <c r="AM26" s="36">
        <f>AM4*'Key Variables'!$C$13</f>
        <v>50000</v>
      </c>
      <c r="AN26" s="36">
        <f>AN4*'Key Variables'!$C$13</f>
        <v>50000</v>
      </c>
      <c r="AO26" s="36">
        <f>AO4*'Key Variables'!$C$13</f>
        <v>50000</v>
      </c>
      <c r="AP26" s="36">
        <f>AP4*'Key Variables'!$C$13</f>
        <v>50000</v>
      </c>
      <c r="AQ26" s="36">
        <f>AQ4*'Key Variables'!$C$13</f>
        <v>50000</v>
      </c>
      <c r="AR26" s="36">
        <f>AR4*'Key Variables'!$C$13</f>
        <v>50000</v>
      </c>
      <c r="AS26" s="36">
        <f>AS4*'Key Variables'!$C$13</f>
        <v>50000</v>
      </c>
      <c r="AT26" s="36">
        <f>AT4*'Key Variables'!$C$13</f>
        <v>50000</v>
      </c>
      <c r="AU26" s="36">
        <f>AU4*'Key Variables'!$C$13</f>
        <v>50000</v>
      </c>
      <c r="AV26" s="36">
        <f>AV4*'Key Variables'!$C$13</f>
        <v>50000</v>
      </c>
      <c r="AW26" s="36">
        <f>AW4*'Key Variables'!$C$13</f>
        <v>50000</v>
      </c>
      <c r="AX26" s="4">
        <f>SUM(B26:AW26)</f>
        <v>1800000</v>
      </c>
    </row>
    <row r="27" spans="1:50" s="21" customFormat="1" hidden="1" x14ac:dyDescent="0.25">
      <c r="A27" s="10" t="s">
        <v>122</v>
      </c>
      <c r="B27" s="36">
        <f>B9*'Key Variables'!$C$15*'Key Variables'!$C$84</f>
        <v>21.875</v>
      </c>
      <c r="C27" s="36">
        <f>C9*'Key Variables'!$C$15*'Key Variables'!$C$84</f>
        <v>43.75</v>
      </c>
      <c r="D27" s="36">
        <f>D9*'Key Variables'!$C$15*'Key Variables'!$C$84</f>
        <v>65.625</v>
      </c>
      <c r="E27" s="36">
        <f>E9*'Key Variables'!$C$15*'Key Variables'!$C$84</f>
        <v>87.5</v>
      </c>
      <c r="F27" s="36">
        <f>F9*'Key Variables'!$C$15*'Key Variables'!$C$84</f>
        <v>109.375</v>
      </c>
      <c r="G27" s="36">
        <f>G9*'Key Variables'!$C$15*'Key Variables'!$C$84</f>
        <v>131.25</v>
      </c>
      <c r="H27" s="36">
        <f>H9*'Key Variables'!$C$15*'Key Variables'!$C$84</f>
        <v>153.125</v>
      </c>
      <c r="I27" s="36">
        <f>I9*'Key Variables'!$C$15*'Key Variables'!$C$84</f>
        <v>175</v>
      </c>
      <c r="J27" s="36">
        <f>J9*'Key Variables'!$C$15*'Key Variables'!$C$84</f>
        <v>196.875</v>
      </c>
      <c r="K27" s="36">
        <f>K9*'Key Variables'!$C$15*'Key Variables'!$C$84</f>
        <v>218.75</v>
      </c>
      <c r="L27" s="36">
        <f>L9*'Key Variables'!$C$15*'Key Variables'!$C$84</f>
        <v>240.625</v>
      </c>
      <c r="M27" s="36">
        <f>M9*'Key Variables'!$C$15*'Key Variables'!$C$84</f>
        <v>262.5</v>
      </c>
      <c r="N27" s="36">
        <f>N9*'Key Variables'!$C$15*'Key Variables'!$C$84</f>
        <v>291.66666666666669</v>
      </c>
      <c r="O27" s="36">
        <f>O9*'Key Variables'!$C$15*'Key Variables'!$C$84</f>
        <v>320.83333333333337</v>
      </c>
      <c r="P27" s="36">
        <f>P9*'Key Variables'!$C$15*'Key Variables'!$C$84</f>
        <v>350.00000000000006</v>
      </c>
      <c r="Q27" s="36">
        <f>Q9*'Key Variables'!$C$15*'Key Variables'!$C$84</f>
        <v>379.16666666666674</v>
      </c>
      <c r="R27" s="36">
        <f>R9*'Key Variables'!$C$15*'Key Variables'!$C$84</f>
        <v>408.33333333333343</v>
      </c>
      <c r="S27" s="36">
        <f>S9*'Key Variables'!$C$15*'Key Variables'!$C$84</f>
        <v>437.50000000000023</v>
      </c>
      <c r="T27" s="36">
        <f>T9*'Key Variables'!$C$15*'Key Variables'!$C$84</f>
        <v>466.6666666666668</v>
      </c>
      <c r="U27" s="36">
        <f>U9*'Key Variables'!$C$15*'Key Variables'!$C$84</f>
        <v>495.83333333333348</v>
      </c>
      <c r="V27" s="36">
        <f>V9*'Key Variables'!$C$15*'Key Variables'!$C$84</f>
        <v>525.00000000000023</v>
      </c>
      <c r="W27" s="36">
        <f>W9*'Key Variables'!$C$15*'Key Variables'!$C$84</f>
        <v>554.16666666666686</v>
      </c>
      <c r="X27" s="36">
        <f>X9*'Key Variables'!$C$15*'Key Variables'!$C$84</f>
        <v>583.33333333333348</v>
      </c>
      <c r="Y27" s="36">
        <f>Y9*'Key Variables'!$C$15*'Key Variables'!$C$84</f>
        <v>612.50000000000011</v>
      </c>
      <c r="Z27" s="36">
        <f>Z9*'Key Variables'!$C$15*'Key Variables'!$C$84</f>
        <v>648.95833333333348</v>
      </c>
      <c r="AA27" s="36">
        <f>AA9*'Key Variables'!$C$15*'Key Variables'!$C$84</f>
        <v>685.41666666666686</v>
      </c>
      <c r="AB27" s="36">
        <f>AB9*'Key Variables'!$C$15*'Key Variables'!$C$84</f>
        <v>721.87500000000045</v>
      </c>
      <c r="AC27" s="36">
        <f>AC9*'Key Variables'!$C$15*'Key Variables'!$C$84</f>
        <v>758.3333333333336</v>
      </c>
      <c r="AD27" s="36">
        <f>AD9*'Key Variables'!$C$15*'Key Variables'!$C$84</f>
        <v>794.79166666666697</v>
      </c>
      <c r="AE27" s="36">
        <f>AE9*'Key Variables'!$C$15*'Key Variables'!$C$84</f>
        <v>831.25000000000045</v>
      </c>
      <c r="AF27" s="36">
        <f>AF9*'Key Variables'!$C$15*'Key Variables'!$C$84</f>
        <v>867.70833333333371</v>
      </c>
      <c r="AG27" s="36">
        <f>AG9*'Key Variables'!$C$15*'Key Variables'!$C$84</f>
        <v>904.16666666666731</v>
      </c>
      <c r="AH27" s="36">
        <f>AH9*'Key Variables'!$C$15*'Key Variables'!$C$84</f>
        <v>940.62500000000057</v>
      </c>
      <c r="AI27" s="36">
        <f>AI9*'Key Variables'!$C$15*'Key Variables'!$C$84</f>
        <v>977.08333333333383</v>
      </c>
      <c r="AJ27" s="36">
        <f>AJ9*'Key Variables'!$C$15*'Key Variables'!$C$84</f>
        <v>1013.5416666666673</v>
      </c>
      <c r="AK27" s="36">
        <f>AK9*'Key Variables'!$C$15*'Key Variables'!$C$84</f>
        <v>1050.0000000000005</v>
      </c>
      <c r="AL27" s="36">
        <f>AL9*'Key Variables'!$C$15*'Key Variables'!$C$84</f>
        <v>1093.7500000000005</v>
      </c>
      <c r="AM27" s="36">
        <f>AM9*'Key Variables'!$C$15*'Key Variables'!$C$84</f>
        <v>1137.5000000000005</v>
      </c>
      <c r="AN27" s="36">
        <f>AN9*'Key Variables'!$C$15*'Key Variables'!$C$84</f>
        <v>1181.2500000000005</v>
      </c>
      <c r="AO27" s="36">
        <f>AO9*'Key Variables'!$C$15*'Key Variables'!$C$84</f>
        <v>1225.0000000000005</v>
      </c>
      <c r="AP27" s="36">
        <f>AP9*'Key Variables'!$C$15*'Key Variables'!$C$84</f>
        <v>1268.7500000000005</v>
      </c>
      <c r="AQ27" s="36">
        <f>AQ9*'Key Variables'!$C$15*'Key Variables'!$C$84</f>
        <v>1312.5000000000005</v>
      </c>
      <c r="AR27" s="36">
        <f>AR9*'Key Variables'!$C$15*'Key Variables'!$C$84</f>
        <v>1356.2500000000005</v>
      </c>
      <c r="AS27" s="36">
        <f>AS9*'Key Variables'!$C$15*'Key Variables'!$C$84</f>
        <v>1400.0000000000005</v>
      </c>
      <c r="AT27" s="36">
        <f>AT9*'Key Variables'!$C$15*'Key Variables'!$C$84</f>
        <v>1443.7500000000009</v>
      </c>
      <c r="AU27" s="36">
        <f>AU9*'Key Variables'!$C$15*'Key Variables'!$C$84</f>
        <v>1487.5000000000009</v>
      </c>
      <c r="AV27" s="36">
        <f>AV9*'Key Variables'!$C$15*'Key Variables'!$C$84</f>
        <v>1531.2500000000009</v>
      </c>
      <c r="AW27" s="36">
        <f>AW9*'Key Variables'!$C$15*'Key Variables'!$C$84</f>
        <v>1575.0000000000009</v>
      </c>
      <c r="AX27" s="4">
        <f t="shared" ref="AX27:AX43" si="38">SUM(B27:AW27)</f>
        <v>33337.500000000007</v>
      </c>
    </row>
    <row r="28" spans="1:50" s="21" customFormat="1" hidden="1" x14ac:dyDescent="0.25">
      <c r="A28" s="10" t="s">
        <v>128</v>
      </c>
      <c r="B28" s="36">
        <f>B22*'Key Variables'!$C$16</f>
        <v>687.5</v>
      </c>
      <c r="C28" s="36">
        <f>C22*'Key Variables'!$C$16</f>
        <v>1375</v>
      </c>
      <c r="D28" s="36">
        <f>D22*'Key Variables'!$C$16</f>
        <v>2062.5</v>
      </c>
      <c r="E28" s="36">
        <f>E22*'Key Variables'!$C$16</f>
        <v>2750</v>
      </c>
      <c r="F28" s="36">
        <f>F22*'Key Variables'!$C$16</f>
        <v>3437.5</v>
      </c>
      <c r="G28" s="36">
        <f>G22*'Key Variables'!$C$16</f>
        <v>4125</v>
      </c>
      <c r="H28" s="36">
        <f>H22*'Key Variables'!$C$16</f>
        <v>4812.5</v>
      </c>
      <c r="I28" s="36">
        <f>I22*'Key Variables'!$C$16</f>
        <v>5500</v>
      </c>
      <c r="J28" s="36">
        <f>J22*'Key Variables'!$C$16</f>
        <v>6187.5</v>
      </c>
      <c r="K28" s="36">
        <f>K22*'Key Variables'!$C$16</f>
        <v>6875</v>
      </c>
      <c r="L28" s="36">
        <f>L22*'Key Variables'!$C$16</f>
        <v>7562.5</v>
      </c>
      <c r="M28" s="36">
        <f>M22*'Key Variables'!$C$16</f>
        <v>8250</v>
      </c>
      <c r="N28" s="36">
        <f>N22*'Key Variables'!$C$16</f>
        <v>9166.6666666666679</v>
      </c>
      <c r="O28" s="36">
        <f>O22*'Key Variables'!$C$16</f>
        <v>10083.333333333336</v>
      </c>
      <c r="P28" s="36">
        <f>P22*'Key Variables'!$C$16</f>
        <v>11000.000000000002</v>
      </c>
      <c r="Q28" s="36">
        <f>Q22*'Key Variables'!$C$16</f>
        <v>11916.66666666667</v>
      </c>
      <c r="R28" s="36">
        <f>R22*'Key Variables'!$C$16</f>
        <v>12833.333333333338</v>
      </c>
      <c r="S28" s="36">
        <f>S22*'Key Variables'!$C$16</f>
        <v>13750.000000000005</v>
      </c>
      <c r="T28" s="36">
        <f>T22*'Key Variables'!$C$16</f>
        <v>14666.666666666672</v>
      </c>
      <c r="U28" s="36">
        <f>U22*'Key Variables'!$C$16</f>
        <v>15583.333333333339</v>
      </c>
      <c r="V28" s="36">
        <f>V22*'Key Variables'!$C$16</f>
        <v>16500.000000000007</v>
      </c>
      <c r="W28" s="36">
        <f>W22*'Key Variables'!$C$16</f>
        <v>17416.666666666675</v>
      </c>
      <c r="X28" s="36">
        <f>X22*'Key Variables'!$C$16</f>
        <v>18333.333333333339</v>
      </c>
      <c r="Y28" s="36">
        <f>Y22*'Key Variables'!$C$16</f>
        <v>19250.000000000004</v>
      </c>
      <c r="Z28" s="36">
        <f>Z22*'Key Variables'!$C$16</f>
        <v>20395.833333333339</v>
      </c>
      <c r="AA28" s="36">
        <f>AA22*'Key Variables'!$C$16</f>
        <v>21541.666666666675</v>
      </c>
      <c r="AB28" s="36">
        <f>AB22*'Key Variables'!$C$16</f>
        <v>22687.500000000011</v>
      </c>
      <c r="AC28" s="36">
        <f>AC22*'Key Variables'!$C$16</f>
        <v>23833.333333333343</v>
      </c>
      <c r="AD28" s="36">
        <f>AD22*'Key Variables'!$C$16</f>
        <v>24979.166666666679</v>
      </c>
      <c r="AE28" s="36">
        <f>AE22*'Key Variables'!$C$16</f>
        <v>26125.000000000011</v>
      </c>
      <c r="AF28" s="36">
        <f>AF22*'Key Variables'!$C$16</f>
        <v>27270.833333333347</v>
      </c>
      <c r="AG28" s="36">
        <f>AG22*'Key Variables'!$C$16</f>
        <v>28416.666666666682</v>
      </c>
      <c r="AH28" s="36">
        <f>AH22*'Key Variables'!$C$16</f>
        <v>29562.500000000011</v>
      </c>
      <c r="AI28" s="36">
        <f>AI22*'Key Variables'!$C$16</f>
        <v>30708.333333333347</v>
      </c>
      <c r="AJ28" s="36">
        <f>AJ22*'Key Variables'!$C$16</f>
        <v>31854.166666666682</v>
      </c>
      <c r="AK28" s="36">
        <f>AK22*'Key Variables'!$C$16</f>
        <v>33000.000000000022</v>
      </c>
      <c r="AL28" s="36">
        <f>AL22*'Key Variables'!$C$16</f>
        <v>34375.000000000022</v>
      </c>
      <c r="AM28" s="36">
        <f>AM22*'Key Variables'!$C$16</f>
        <v>35750.000000000015</v>
      </c>
      <c r="AN28" s="36">
        <f>AN22*'Key Variables'!$C$16</f>
        <v>37125.000000000015</v>
      </c>
      <c r="AO28" s="36">
        <f>AO22*'Key Variables'!$C$16</f>
        <v>38500.000000000015</v>
      </c>
      <c r="AP28" s="36">
        <f>AP22*'Key Variables'!$C$16</f>
        <v>39875.000000000015</v>
      </c>
      <c r="AQ28" s="36">
        <f>AQ22*'Key Variables'!$C$16</f>
        <v>41250.000000000015</v>
      </c>
      <c r="AR28" s="36">
        <f>AR22*'Key Variables'!$C$16</f>
        <v>42625.000000000015</v>
      </c>
      <c r="AS28" s="36">
        <f>AS22*'Key Variables'!$C$16</f>
        <v>44000.000000000015</v>
      </c>
      <c r="AT28" s="36">
        <f>AT22*'Key Variables'!$C$16</f>
        <v>45375.000000000022</v>
      </c>
      <c r="AU28" s="36">
        <f>AU22*'Key Variables'!$C$16</f>
        <v>46750.000000000022</v>
      </c>
      <c r="AV28" s="36">
        <f>AV22*'Key Variables'!$C$16</f>
        <v>48125.000000000022</v>
      </c>
      <c r="AW28" s="36">
        <f>AW22*'Key Variables'!$C$16</f>
        <v>49500.000000000022</v>
      </c>
      <c r="AX28" s="4">
        <f t="shared" si="38"/>
        <v>1047750.0000000002</v>
      </c>
    </row>
    <row r="29" spans="1:50" s="21" customFormat="1" hidden="1" x14ac:dyDescent="0.25">
      <c r="A29" s="10" t="s">
        <v>143</v>
      </c>
      <c r="B29" s="36"/>
      <c r="C29" s="36"/>
      <c r="D29" s="36"/>
      <c r="E29" s="36"/>
      <c r="F29" s="36"/>
      <c r="G29" s="36"/>
      <c r="H29" s="36">
        <f>B13*'Key Variables'!$C$14/12</f>
        <v>260.41666666666669</v>
      </c>
      <c r="I29" s="36">
        <f>C13*'Key Variables'!$C$14/12</f>
        <v>520.83333333333337</v>
      </c>
      <c r="J29" s="36">
        <f>D13*'Key Variables'!$C$14/12</f>
        <v>781.25</v>
      </c>
      <c r="K29" s="36">
        <f>E13*'Key Variables'!$C$14/12</f>
        <v>1041.6666666666667</v>
      </c>
      <c r="L29" s="36">
        <f>F13*'Key Variables'!$C$14/12</f>
        <v>1302.0833333333333</v>
      </c>
      <c r="M29" s="36">
        <f>G13*'Key Variables'!$C$14/12</f>
        <v>1562.5</v>
      </c>
      <c r="N29" s="36">
        <f>H13*'Key Variables'!$C$14/12</f>
        <v>1822.9166666666667</v>
      </c>
      <c r="O29" s="36">
        <f>I13*'Key Variables'!$C$14/12</f>
        <v>2083.3333333333335</v>
      </c>
      <c r="P29" s="36">
        <f>J13*'Key Variables'!$C$14/12</f>
        <v>2343.75</v>
      </c>
      <c r="Q29" s="36">
        <f>K13*'Key Variables'!$C$14/12</f>
        <v>2604.1666666666665</v>
      </c>
      <c r="R29" s="36">
        <f>L13*'Key Variables'!$C$14/12</f>
        <v>2864.5833333333335</v>
      </c>
      <c r="S29" s="36">
        <f>M13*'Key Variables'!$C$14/12</f>
        <v>3125</v>
      </c>
      <c r="T29" s="36">
        <f>N13*'Key Variables'!$C$14/12</f>
        <v>3472.2222222222226</v>
      </c>
      <c r="U29" s="36">
        <f>O13*'Key Variables'!$C$14/12</f>
        <v>3819.4444444444448</v>
      </c>
      <c r="V29" s="36">
        <f>P13*'Key Variables'!$C$14/12</f>
        <v>4166.666666666667</v>
      </c>
      <c r="W29" s="36">
        <f>Q13*'Key Variables'!$C$14/12</f>
        <v>4513.8888888888896</v>
      </c>
      <c r="X29" s="36">
        <f>R13*'Key Variables'!$C$14/12</f>
        <v>4861.1111111111122</v>
      </c>
      <c r="Y29" s="36">
        <f>S13*'Key Variables'!$C$14/12</f>
        <v>5208.3333333333358</v>
      </c>
      <c r="Z29" s="36">
        <f>T13*'Key Variables'!$C$14/12</f>
        <v>5555.5555555555575</v>
      </c>
      <c r="AA29" s="36">
        <f>U13*'Key Variables'!$C$14/12</f>
        <v>5902.7777777777801</v>
      </c>
      <c r="AB29" s="36">
        <f>V13*'Key Variables'!$C$14/12</f>
        <v>6250.0000000000027</v>
      </c>
      <c r="AC29" s="36">
        <f>W13*'Key Variables'!$C$14/12</f>
        <v>6597.2222222222254</v>
      </c>
      <c r="AD29" s="36">
        <f>X13*'Key Variables'!$C$14/12</f>
        <v>6944.4444444444462</v>
      </c>
      <c r="AE29" s="36">
        <f>Y13*'Key Variables'!$C$14/12</f>
        <v>7291.6666666666679</v>
      </c>
      <c r="AF29" s="36">
        <f>Z13*'Key Variables'!$C$14/12</f>
        <v>7725.6944444444462</v>
      </c>
      <c r="AG29" s="36">
        <f>AA13*'Key Variables'!$C$14/12</f>
        <v>8159.7222222222254</v>
      </c>
      <c r="AH29" s="36">
        <f>AB13*'Key Variables'!$C$14/12</f>
        <v>8593.7500000000055</v>
      </c>
      <c r="AI29" s="36">
        <f>AC13*'Key Variables'!$C$14/12</f>
        <v>9027.777777777781</v>
      </c>
      <c r="AJ29" s="36">
        <f>AD13*'Key Variables'!$C$14/12</f>
        <v>9461.8055555555602</v>
      </c>
      <c r="AK29" s="36">
        <f>AE13*'Key Variables'!$C$14/12</f>
        <v>9895.8333333333376</v>
      </c>
      <c r="AL29" s="36">
        <f>AF13*'Key Variables'!$C$14/12</f>
        <v>10329.861111111115</v>
      </c>
      <c r="AM29" s="36">
        <f>AG13*'Key Variables'!$C$14/12</f>
        <v>10763.888888888896</v>
      </c>
      <c r="AN29" s="36">
        <f>AH13*'Key Variables'!$C$14/12</f>
        <v>11197.916666666672</v>
      </c>
      <c r="AO29" s="36">
        <f>AI13*'Key Variables'!$C$14/12</f>
        <v>11631.944444444451</v>
      </c>
      <c r="AP29" s="36">
        <f>AJ13*'Key Variables'!$C$14/12</f>
        <v>12065.972222222228</v>
      </c>
      <c r="AQ29" s="36">
        <f>AK13*'Key Variables'!$C$14/12</f>
        <v>12500.000000000007</v>
      </c>
      <c r="AR29" s="36">
        <f>AL13*'Key Variables'!$C$14/12</f>
        <v>13020.833333333341</v>
      </c>
      <c r="AS29" s="36">
        <f>AM13*'Key Variables'!$C$14/12</f>
        <v>13541.666666666672</v>
      </c>
      <c r="AT29" s="36">
        <f>AN13*'Key Variables'!$C$14/12</f>
        <v>14062.500000000005</v>
      </c>
      <c r="AU29" s="36">
        <f>AO13*'Key Variables'!$C$14/12</f>
        <v>14583.333333333338</v>
      </c>
      <c r="AV29" s="36">
        <f>AP13*'Key Variables'!$C$14/12</f>
        <v>15104.166666666672</v>
      </c>
      <c r="AW29" s="36">
        <f>AQ13*'Key Variables'!$C$14/12</f>
        <v>15625.000000000005</v>
      </c>
      <c r="AX29" s="4">
        <f t="shared" si="38"/>
        <v>292187.50000000012</v>
      </c>
    </row>
    <row r="30" spans="1:50" s="21" customFormat="1" hidden="1" x14ac:dyDescent="0.25">
      <c r="A30" s="10" t="s">
        <v>130</v>
      </c>
      <c r="B30" s="36">
        <f>B14*'Key Variables'!$C$108/12</f>
        <v>0</v>
      </c>
      <c r="C30" s="36">
        <f>C14*'Key Variables'!$C$108/12</f>
        <v>0</v>
      </c>
      <c r="D30" s="36">
        <f>D14*'Key Variables'!$C$108/12</f>
        <v>0</v>
      </c>
      <c r="E30" s="36">
        <f>E14*'Key Variables'!$C$108/12</f>
        <v>0</v>
      </c>
      <c r="F30" s="36">
        <f>F14*'Key Variables'!$C$108/12</f>
        <v>0</v>
      </c>
      <c r="G30" s="36">
        <f>G14*'Key Variables'!$C$108/12</f>
        <v>0</v>
      </c>
      <c r="H30" s="36">
        <f>H14*'Key Variables'!$C$108/12</f>
        <v>0</v>
      </c>
      <c r="I30" s="36">
        <f>I14*'Key Variables'!$C$108/12</f>
        <v>0</v>
      </c>
      <c r="J30" s="36">
        <f>J14*'Key Variables'!$C$108/12</f>
        <v>0</v>
      </c>
      <c r="K30" s="36">
        <f>K14*'Key Variables'!$C$108/12</f>
        <v>0</v>
      </c>
      <c r="L30" s="36">
        <f>L14*'Key Variables'!$C$108/12</f>
        <v>0</v>
      </c>
      <c r="M30" s="36">
        <f>M14*'Key Variables'!$C$108/12</f>
        <v>0</v>
      </c>
      <c r="N30" s="36">
        <f>N14*'Key Variables'!$C$108/12</f>
        <v>0</v>
      </c>
      <c r="O30" s="36">
        <f>O14*'Key Variables'!$C$108/12</f>
        <v>0</v>
      </c>
      <c r="P30" s="36">
        <f>P14*'Key Variables'!$C$108/12</f>
        <v>0</v>
      </c>
      <c r="Q30" s="36">
        <f>Q14*'Key Variables'!$C$108/12</f>
        <v>0</v>
      </c>
      <c r="R30" s="36">
        <f>R14*'Key Variables'!$C$108/12</f>
        <v>0</v>
      </c>
      <c r="S30" s="36">
        <f>S14*'Key Variables'!$C$108/12</f>
        <v>0</v>
      </c>
      <c r="T30" s="36">
        <f>T14*'Key Variables'!$C$108/12</f>
        <v>0</v>
      </c>
      <c r="U30" s="36">
        <f>U14*'Key Variables'!$C$108/12</f>
        <v>0</v>
      </c>
      <c r="V30" s="36">
        <f>V14*'Key Variables'!$C$108/12</f>
        <v>0</v>
      </c>
      <c r="W30" s="36">
        <f>W14*'Key Variables'!$C$108/12</f>
        <v>0</v>
      </c>
      <c r="X30" s="36">
        <f>X14*'Key Variables'!$C$108/12</f>
        <v>0</v>
      </c>
      <c r="Y30" s="36">
        <f>Y14*'Key Variables'!$C$108/12</f>
        <v>0</v>
      </c>
      <c r="Z30" s="36">
        <f>Z14*'Key Variables'!$C$108/12</f>
        <v>0</v>
      </c>
      <c r="AA30" s="36">
        <f>AA14*'Key Variables'!$C$108/12</f>
        <v>0</v>
      </c>
      <c r="AB30" s="36">
        <f>AB14*'Key Variables'!$C$108/12</f>
        <v>0</v>
      </c>
      <c r="AC30" s="36">
        <f>AC14*'Key Variables'!$C$108/12</f>
        <v>0</v>
      </c>
      <c r="AD30" s="36">
        <f>AD14*'Key Variables'!$C$108/12</f>
        <v>0</v>
      </c>
      <c r="AE30" s="36">
        <f>AE14*'Key Variables'!$C$108/12</f>
        <v>0</v>
      </c>
      <c r="AF30" s="36">
        <f>AF14*'Key Variables'!$C$108/12</f>
        <v>0</v>
      </c>
      <c r="AG30" s="36">
        <f>AG14*'Key Variables'!$C$108/12</f>
        <v>0</v>
      </c>
      <c r="AH30" s="36">
        <f>AH14*'Key Variables'!$C$108/12</f>
        <v>0</v>
      </c>
      <c r="AI30" s="36">
        <f>AI14*'Key Variables'!$C$108/12</f>
        <v>0</v>
      </c>
      <c r="AJ30" s="36">
        <f>AJ14*'Key Variables'!$C$108/12</f>
        <v>0</v>
      </c>
      <c r="AK30" s="36">
        <f>AK14*'Key Variables'!$C$108/12</f>
        <v>0</v>
      </c>
      <c r="AL30" s="36">
        <f>AL14*'Key Variables'!$C$108/12</f>
        <v>0</v>
      </c>
      <c r="AM30" s="36">
        <f>AM14*'Key Variables'!$C$108/12</f>
        <v>0</v>
      </c>
      <c r="AN30" s="36">
        <f>AN14*'Key Variables'!$C$108/12</f>
        <v>0</v>
      </c>
      <c r="AO30" s="36">
        <f>AO14*'Key Variables'!$C$108/12</f>
        <v>0</v>
      </c>
      <c r="AP30" s="36">
        <f>AP14*'Key Variables'!$C$108/12</f>
        <v>0</v>
      </c>
      <c r="AQ30" s="36">
        <f>AQ14*'Key Variables'!$C$108/12</f>
        <v>0</v>
      </c>
      <c r="AR30" s="36">
        <f>AR14*'Key Variables'!$C$108/12</f>
        <v>0</v>
      </c>
      <c r="AS30" s="36">
        <f>AS14*'Key Variables'!$C$108/12</f>
        <v>0</v>
      </c>
      <c r="AT30" s="36">
        <f>AT14*'Key Variables'!$C$108/12</f>
        <v>0</v>
      </c>
      <c r="AU30" s="36">
        <f>AU14*'Key Variables'!$C$108/12</f>
        <v>0</v>
      </c>
      <c r="AV30" s="36">
        <f>AV14*'Key Variables'!$C$108/12</f>
        <v>0</v>
      </c>
      <c r="AW30" s="36">
        <f>AW14*'Key Variables'!$C$108/12</f>
        <v>0</v>
      </c>
      <c r="AX30" s="4">
        <f t="shared" si="38"/>
        <v>0</v>
      </c>
    </row>
    <row r="31" spans="1:50" s="21" customFormat="1" hidden="1" x14ac:dyDescent="0.25">
      <c r="A31" s="10" t="s">
        <v>187</v>
      </c>
      <c r="B31" s="36">
        <f>B20*'Key Variables'!$D$100</f>
        <v>0</v>
      </c>
      <c r="C31" s="36">
        <f>C20*'Key Variables'!$D$100</f>
        <v>0</v>
      </c>
      <c r="D31" s="36">
        <f>D20*'Key Variables'!$D$100</f>
        <v>0</v>
      </c>
      <c r="E31" s="36">
        <f>E20*'Key Variables'!$D$100</f>
        <v>0</v>
      </c>
      <c r="F31" s="36">
        <f>F20*'Key Variables'!$D$100</f>
        <v>0</v>
      </c>
      <c r="G31" s="36">
        <f>G20*'Key Variables'!$D$100</f>
        <v>0</v>
      </c>
      <c r="H31" s="36">
        <f>H20*'Key Variables'!$D$100</f>
        <v>0</v>
      </c>
      <c r="I31" s="36">
        <f>I20*'Key Variables'!$D$100</f>
        <v>0</v>
      </c>
      <c r="J31" s="36">
        <f>J20*'Key Variables'!$D$100</f>
        <v>0</v>
      </c>
      <c r="K31" s="36">
        <f>K20*'Key Variables'!$D$100</f>
        <v>0</v>
      </c>
      <c r="L31" s="36">
        <f>L20*'Key Variables'!$D$100</f>
        <v>0</v>
      </c>
      <c r="M31" s="36">
        <f>M20*'Key Variables'!$D$100</f>
        <v>0</v>
      </c>
      <c r="N31" s="36">
        <f>N20*'Key Variables'!$D$100</f>
        <v>0</v>
      </c>
      <c r="O31" s="36">
        <f>O20*'Key Variables'!$D$100</f>
        <v>0</v>
      </c>
      <c r="P31" s="36">
        <f>P20*'Key Variables'!$D$100</f>
        <v>0</v>
      </c>
      <c r="Q31" s="36">
        <f>Q20*'Key Variables'!$D$100</f>
        <v>0</v>
      </c>
      <c r="R31" s="36">
        <f>R20*'Key Variables'!$D$100</f>
        <v>0</v>
      </c>
      <c r="S31" s="36">
        <f>S20*'Key Variables'!$D$100</f>
        <v>0</v>
      </c>
      <c r="T31" s="36">
        <f>T20*'Key Variables'!$D$100</f>
        <v>0</v>
      </c>
      <c r="U31" s="36">
        <f>U20*'Key Variables'!$D$100</f>
        <v>0</v>
      </c>
      <c r="V31" s="36">
        <f>V20*'Key Variables'!$D$100</f>
        <v>0</v>
      </c>
      <c r="W31" s="36">
        <f>W20*'Key Variables'!$D$100</f>
        <v>0</v>
      </c>
      <c r="X31" s="36">
        <f>X20*'Key Variables'!$D$100</f>
        <v>0</v>
      </c>
      <c r="Y31" s="36">
        <f>Y20*'Key Variables'!$D$100</f>
        <v>0</v>
      </c>
      <c r="Z31" s="36">
        <f>Z20*'Key Variables'!$D$100</f>
        <v>0</v>
      </c>
      <c r="AA31" s="36">
        <f>AA20*'Key Variables'!$D$100</f>
        <v>0</v>
      </c>
      <c r="AB31" s="36">
        <f>AB20*'Key Variables'!$D$100</f>
        <v>0</v>
      </c>
      <c r="AC31" s="36">
        <f>AC20*'Key Variables'!$D$100</f>
        <v>0</v>
      </c>
      <c r="AD31" s="36">
        <f>AD20*'Key Variables'!$D$100</f>
        <v>0</v>
      </c>
      <c r="AE31" s="36">
        <f>AE20*'Key Variables'!$D$100</f>
        <v>0</v>
      </c>
      <c r="AF31" s="36">
        <f>AF20*'Key Variables'!$D$100</f>
        <v>0</v>
      </c>
      <c r="AG31" s="36">
        <f>AG20*'Key Variables'!$D$100</f>
        <v>0</v>
      </c>
      <c r="AH31" s="36">
        <f>AH20*'Key Variables'!$D$100</f>
        <v>0</v>
      </c>
      <c r="AI31" s="36">
        <f>AI20*'Key Variables'!$D$100</f>
        <v>0</v>
      </c>
      <c r="AJ31" s="36">
        <f>AJ20*'Key Variables'!$D$100</f>
        <v>0</v>
      </c>
      <c r="AK31" s="36">
        <f>AK20*'Key Variables'!$D$100</f>
        <v>0</v>
      </c>
      <c r="AL31" s="36">
        <f>AL20*'Key Variables'!$D$100</f>
        <v>0</v>
      </c>
      <c r="AM31" s="36">
        <f>AM20*'Key Variables'!$D$100</f>
        <v>0</v>
      </c>
      <c r="AN31" s="36">
        <f>AN20*'Key Variables'!$D$100</f>
        <v>0</v>
      </c>
      <c r="AO31" s="36">
        <f>AO20*'Key Variables'!$D$100</f>
        <v>0</v>
      </c>
      <c r="AP31" s="36">
        <f>AP20*'Key Variables'!$D$100</f>
        <v>0</v>
      </c>
      <c r="AQ31" s="36">
        <f>AQ20*'Key Variables'!$D$100</f>
        <v>0</v>
      </c>
      <c r="AR31" s="36">
        <f>AR20*'Key Variables'!$D$100</f>
        <v>0</v>
      </c>
      <c r="AS31" s="36">
        <f>AS20*'Key Variables'!$D$100</f>
        <v>0</v>
      </c>
      <c r="AT31" s="36">
        <f>AT20*'Key Variables'!$D$100</f>
        <v>0</v>
      </c>
      <c r="AU31" s="36">
        <f>AU20*'Key Variables'!$D$100</f>
        <v>0</v>
      </c>
      <c r="AV31" s="36">
        <f>AV20*'Key Variables'!$D$100</f>
        <v>0</v>
      </c>
      <c r="AW31" s="36">
        <f>AW20*'Key Variables'!$D$100</f>
        <v>0</v>
      </c>
      <c r="AX31" s="4">
        <f t="shared" si="38"/>
        <v>0</v>
      </c>
    </row>
    <row r="32" spans="1:50" s="21" customFormat="1" hidden="1" x14ac:dyDescent="0.25">
      <c r="A32" s="10" t="s">
        <v>188</v>
      </c>
      <c r="B32" s="36">
        <f>B21*'Key Variables'!$G$2</f>
        <v>1625</v>
      </c>
      <c r="C32" s="36">
        <f>C21*'Key Variables'!$G$2</f>
        <v>3250</v>
      </c>
      <c r="D32" s="36">
        <f>D21*'Key Variables'!$G$2</f>
        <v>4875</v>
      </c>
      <c r="E32" s="36">
        <f>E21*'Key Variables'!$G$2</f>
        <v>6500</v>
      </c>
      <c r="F32" s="36">
        <f>F21*'Key Variables'!$G$2</f>
        <v>8125</v>
      </c>
      <c r="G32" s="36">
        <f>G21*'Key Variables'!$G$2</f>
        <v>9750</v>
      </c>
      <c r="H32" s="36">
        <f>H21*'Key Variables'!$G$2</f>
        <v>11375</v>
      </c>
      <c r="I32" s="36">
        <f>I21*'Key Variables'!$G$2</f>
        <v>13000</v>
      </c>
      <c r="J32" s="36">
        <f>J21*'Key Variables'!$G$2</f>
        <v>14625</v>
      </c>
      <c r="K32" s="36">
        <f>K21*'Key Variables'!$G$2</f>
        <v>16250</v>
      </c>
      <c r="L32" s="36">
        <f>L21*'Key Variables'!$G$2</f>
        <v>17875</v>
      </c>
      <c r="M32" s="36">
        <f>M21*'Key Variables'!$G$2</f>
        <v>19500</v>
      </c>
      <c r="N32" s="36">
        <f>N21*'Key Variables'!$G$2</f>
        <v>21666.666666666668</v>
      </c>
      <c r="O32" s="36">
        <f>O21*'Key Variables'!$G$2</f>
        <v>23833.333333333339</v>
      </c>
      <c r="P32" s="36">
        <f>P21*'Key Variables'!$G$2</f>
        <v>26000.000000000004</v>
      </c>
      <c r="Q32" s="36">
        <f>Q21*'Key Variables'!$G$2</f>
        <v>28166.666666666672</v>
      </c>
      <c r="R32" s="36">
        <f>R21*'Key Variables'!$G$2</f>
        <v>30333.333333333343</v>
      </c>
      <c r="S32" s="36">
        <f>S21*'Key Variables'!$G$2</f>
        <v>32500.000000000015</v>
      </c>
      <c r="T32" s="36">
        <f>T21*'Key Variables'!$G$2</f>
        <v>34666.666666666679</v>
      </c>
      <c r="U32" s="36">
        <f>U21*'Key Variables'!$G$2</f>
        <v>36833.333333333343</v>
      </c>
      <c r="V32" s="36">
        <f>V21*'Key Variables'!$G$2</f>
        <v>39000.000000000015</v>
      </c>
      <c r="W32" s="36">
        <f>W21*'Key Variables'!$G$2</f>
        <v>41166.666666666686</v>
      </c>
      <c r="X32" s="36">
        <f>X21*'Key Variables'!$G$2</f>
        <v>43333.333333333343</v>
      </c>
      <c r="Y32" s="36">
        <f>Y21*'Key Variables'!$G$2</f>
        <v>45500.000000000007</v>
      </c>
      <c r="Z32" s="36">
        <f>Z21*'Key Variables'!$G$2</f>
        <v>48208.333333333343</v>
      </c>
      <c r="AA32" s="36">
        <f>AA21*'Key Variables'!$G$2</f>
        <v>50916.666666666686</v>
      </c>
      <c r="AB32" s="36">
        <f>AB21*'Key Variables'!$G$2</f>
        <v>53625.000000000029</v>
      </c>
      <c r="AC32" s="36">
        <f>AC21*'Key Variables'!$G$2</f>
        <v>56333.33333333335</v>
      </c>
      <c r="AD32" s="36">
        <f>AD21*'Key Variables'!$G$2</f>
        <v>59041.666666666693</v>
      </c>
      <c r="AE32" s="36">
        <f>AE21*'Key Variables'!$G$2</f>
        <v>61750.000000000029</v>
      </c>
      <c r="AF32" s="36">
        <f>AF21*'Key Variables'!$G$2</f>
        <v>64458.333333333365</v>
      </c>
      <c r="AG32" s="36">
        <f>AG21*'Key Variables'!$G$2</f>
        <v>67166.666666666701</v>
      </c>
      <c r="AH32" s="36">
        <f>AH21*'Key Variables'!$G$2</f>
        <v>69875.000000000029</v>
      </c>
      <c r="AI32" s="36">
        <f>AI21*'Key Variables'!$G$2</f>
        <v>72583.333333333372</v>
      </c>
      <c r="AJ32" s="36">
        <f>AJ21*'Key Variables'!$G$2</f>
        <v>75291.666666666701</v>
      </c>
      <c r="AK32" s="36">
        <f>AK21*'Key Variables'!$G$2</f>
        <v>78000.000000000044</v>
      </c>
      <c r="AL32" s="36">
        <f>AL21*'Key Variables'!$G$2</f>
        <v>81250.000000000044</v>
      </c>
      <c r="AM32" s="36">
        <f>AM21*'Key Variables'!$G$2</f>
        <v>84500.000000000029</v>
      </c>
      <c r="AN32" s="36">
        <f>AN21*'Key Variables'!$G$2</f>
        <v>87750.000000000029</v>
      </c>
      <c r="AO32" s="36">
        <f>AO21*'Key Variables'!$G$2</f>
        <v>91000.000000000029</v>
      </c>
      <c r="AP32" s="36">
        <f>AP21*'Key Variables'!$G$2</f>
        <v>94250.000000000029</v>
      </c>
      <c r="AQ32" s="36">
        <f>AQ21*'Key Variables'!$G$2</f>
        <v>97500.000000000029</v>
      </c>
      <c r="AR32" s="36">
        <f>AR21*'Key Variables'!$G$2</f>
        <v>100750.00000000003</v>
      </c>
      <c r="AS32" s="36">
        <f>AS21*'Key Variables'!$G$2</f>
        <v>104000.00000000003</v>
      </c>
      <c r="AT32" s="36">
        <f>AT21*'Key Variables'!$G$2</f>
        <v>107250.00000000006</v>
      </c>
      <c r="AU32" s="36">
        <f>AU21*'Key Variables'!$G$2</f>
        <v>110500.00000000006</v>
      </c>
      <c r="AV32" s="36">
        <f>AV21*'Key Variables'!$G$2</f>
        <v>113750.00000000006</v>
      </c>
      <c r="AW32" s="36">
        <f>AW21*'Key Variables'!$G$2</f>
        <v>117000.00000000006</v>
      </c>
      <c r="AX32" s="4">
        <f t="shared" si="38"/>
        <v>2476500.0000000009</v>
      </c>
    </row>
    <row r="33" spans="1:51" s="21" customFormat="1" hidden="1" x14ac:dyDescent="0.25">
      <c r="A33" s="10"/>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4"/>
    </row>
    <row r="34" spans="1:51" hidden="1" x14ac:dyDescent="0.25">
      <c r="A34" s="10" t="s">
        <v>131</v>
      </c>
      <c r="B34" s="36">
        <f>B26*(1-'Key Variables'!$C$21)</f>
        <v>16250</v>
      </c>
      <c r="C34" s="36">
        <f>C26*(1-'Key Variables'!$C$21)</f>
        <v>16250</v>
      </c>
      <c r="D34" s="36">
        <f>D26*(1-'Key Variables'!$C$21)</f>
        <v>16250</v>
      </c>
      <c r="E34" s="36">
        <f>E26*(1-'Key Variables'!$C$21)</f>
        <v>16250</v>
      </c>
      <c r="F34" s="36">
        <f>F26*(1-'Key Variables'!$C$21)</f>
        <v>16250</v>
      </c>
      <c r="G34" s="36">
        <f>G26*(1-'Key Variables'!$C$21)</f>
        <v>16250</v>
      </c>
      <c r="H34" s="36">
        <f>H26*(1-'Key Variables'!$C$21)</f>
        <v>16250</v>
      </c>
      <c r="I34" s="36">
        <f>I26*(1-'Key Variables'!$C$21)</f>
        <v>16250</v>
      </c>
      <c r="J34" s="36">
        <f>J26*(1-'Key Variables'!$C$21)</f>
        <v>16250</v>
      </c>
      <c r="K34" s="36">
        <f>K26*(1-'Key Variables'!$C$21)</f>
        <v>16250</v>
      </c>
      <c r="L34" s="36">
        <f>L26*(1-'Key Variables'!$C$21)</f>
        <v>16250</v>
      </c>
      <c r="M34" s="36">
        <f>M26*(1-'Key Variables'!$C$21)</f>
        <v>16250</v>
      </c>
      <c r="N34" s="36">
        <f>N26*(1-'Key Variables'!$C$21)</f>
        <v>21666.666666666668</v>
      </c>
      <c r="O34" s="36">
        <f>O26*(1-'Key Variables'!$C$21)</f>
        <v>21666.666666666668</v>
      </c>
      <c r="P34" s="36">
        <f>P26*(1-'Key Variables'!$C$21)</f>
        <v>21666.666666666668</v>
      </c>
      <c r="Q34" s="36">
        <f>Q26*(1-'Key Variables'!$C$21)</f>
        <v>21666.666666666668</v>
      </c>
      <c r="R34" s="36">
        <f>R26*(1-'Key Variables'!$C$21)</f>
        <v>21666.666666666668</v>
      </c>
      <c r="S34" s="36">
        <f>S26*(1-'Key Variables'!$C$21)</f>
        <v>21666.666666666668</v>
      </c>
      <c r="T34" s="36">
        <f>T26*(1-'Key Variables'!$C$21)</f>
        <v>21666.666666666668</v>
      </c>
      <c r="U34" s="36">
        <f>U26*(1-'Key Variables'!$C$21)</f>
        <v>21666.666666666668</v>
      </c>
      <c r="V34" s="36">
        <f>V26*(1-'Key Variables'!$C$21)</f>
        <v>21666.666666666668</v>
      </c>
      <c r="W34" s="36">
        <f>W26*(1-'Key Variables'!$C$21)</f>
        <v>21666.666666666668</v>
      </c>
      <c r="X34" s="36">
        <f>X26*(1-'Key Variables'!$C$21)</f>
        <v>21666.666666666668</v>
      </c>
      <c r="Y34" s="36">
        <f>Y26*(1-'Key Variables'!$C$21)</f>
        <v>21666.666666666668</v>
      </c>
      <c r="Z34" s="36">
        <f>Z26*(1-'Key Variables'!$C$21)</f>
        <v>27083.333333333336</v>
      </c>
      <c r="AA34" s="36">
        <f>AA26*(1-'Key Variables'!$C$21)</f>
        <v>27083.333333333336</v>
      </c>
      <c r="AB34" s="36">
        <f>AB26*(1-'Key Variables'!$C$21)</f>
        <v>27083.333333333336</v>
      </c>
      <c r="AC34" s="36">
        <f>AC26*(1-'Key Variables'!$C$21)</f>
        <v>27083.333333333336</v>
      </c>
      <c r="AD34" s="36">
        <f>AD26*(1-'Key Variables'!$C$21)</f>
        <v>27083.333333333336</v>
      </c>
      <c r="AE34" s="36">
        <f>AE26*(1-'Key Variables'!$C$21)</f>
        <v>27083.333333333336</v>
      </c>
      <c r="AF34" s="36">
        <f>AF26*(1-'Key Variables'!$C$21)</f>
        <v>27083.333333333336</v>
      </c>
      <c r="AG34" s="36">
        <f>AG26*(1-'Key Variables'!$C$21)</f>
        <v>27083.333333333336</v>
      </c>
      <c r="AH34" s="36">
        <f>AH26*(1-'Key Variables'!$C$21)</f>
        <v>27083.333333333336</v>
      </c>
      <c r="AI34" s="36">
        <f>AI26*(1-'Key Variables'!$C$21)</f>
        <v>27083.333333333336</v>
      </c>
      <c r="AJ34" s="36">
        <f>AJ26*(1-'Key Variables'!$C$21)</f>
        <v>27083.333333333336</v>
      </c>
      <c r="AK34" s="36">
        <f>AK26*(1-'Key Variables'!$C$21)</f>
        <v>27083.333333333336</v>
      </c>
      <c r="AL34" s="36">
        <f>AL26*(1-'Key Variables'!$C$21)</f>
        <v>32500</v>
      </c>
      <c r="AM34" s="36">
        <f>AM26*(1-'Key Variables'!$C$21)</f>
        <v>32500</v>
      </c>
      <c r="AN34" s="36">
        <f>AN26*(1-'Key Variables'!$C$21)</f>
        <v>32500</v>
      </c>
      <c r="AO34" s="36">
        <f>AO26*(1-'Key Variables'!$C$21)</f>
        <v>32500</v>
      </c>
      <c r="AP34" s="36">
        <f>AP26*(1-'Key Variables'!$C$21)</f>
        <v>32500</v>
      </c>
      <c r="AQ34" s="36">
        <f>AQ26*(1-'Key Variables'!$C$21)</f>
        <v>32500</v>
      </c>
      <c r="AR34" s="36">
        <f>AR26*(1-'Key Variables'!$C$21)</f>
        <v>32500</v>
      </c>
      <c r="AS34" s="36">
        <f>AS26*(1-'Key Variables'!$C$21)</f>
        <v>32500</v>
      </c>
      <c r="AT34" s="36">
        <f>AT26*(1-'Key Variables'!$C$21)</f>
        <v>32500</v>
      </c>
      <c r="AU34" s="36">
        <f>AU26*(1-'Key Variables'!$C$21)</f>
        <v>32500</v>
      </c>
      <c r="AV34" s="36">
        <f>AV26*(1-'Key Variables'!$C$21)</f>
        <v>32500</v>
      </c>
      <c r="AW34" s="36">
        <f>AW26*(1-'Key Variables'!$C$21)</f>
        <v>32500</v>
      </c>
      <c r="AX34" s="4">
        <f t="shared" si="38"/>
        <v>1170000.0000000005</v>
      </c>
      <c r="AY34" s="60">
        <f>1-(AX34/AX26)</f>
        <v>0.34999999999999976</v>
      </c>
    </row>
    <row r="35" spans="1:51" hidden="1" x14ac:dyDescent="0.25">
      <c r="A35" s="10" t="s">
        <v>132</v>
      </c>
      <c r="B35" s="36">
        <f>B27*(1-'Key Variables'!$C$23)</f>
        <v>7.6562499999999991</v>
      </c>
      <c r="C35" s="36">
        <f>C27*(1-'Key Variables'!$C$23)</f>
        <v>15.312499999999998</v>
      </c>
      <c r="D35" s="36">
        <f>D27*(1-'Key Variables'!$C$23)</f>
        <v>22.96875</v>
      </c>
      <c r="E35" s="36">
        <f>E27*(1-'Key Variables'!$C$23)</f>
        <v>30.624999999999996</v>
      </c>
      <c r="F35" s="36">
        <f>F27*(1-'Key Variables'!$C$23)</f>
        <v>38.28125</v>
      </c>
      <c r="G35" s="36">
        <f>G27*(1-'Key Variables'!$C$23)</f>
        <v>45.9375</v>
      </c>
      <c r="H35" s="36">
        <f>H27*(1-'Key Variables'!$C$23)</f>
        <v>53.59375</v>
      </c>
      <c r="I35" s="36">
        <f>I27*(1-'Key Variables'!$C$23)</f>
        <v>61.249999999999993</v>
      </c>
      <c r="J35" s="36">
        <f>J27*(1-'Key Variables'!$C$23)</f>
        <v>68.90625</v>
      </c>
      <c r="K35" s="36">
        <f>K27*(1-'Key Variables'!$C$23)</f>
        <v>76.5625</v>
      </c>
      <c r="L35" s="36">
        <f>L27*(1-'Key Variables'!$C$23)</f>
        <v>84.21875</v>
      </c>
      <c r="M35" s="36">
        <f>M27*(1-'Key Variables'!$C$23)</f>
        <v>91.875</v>
      </c>
      <c r="N35" s="36">
        <f>N27*(1-'Key Variables'!$C$23)</f>
        <v>102.08333333333333</v>
      </c>
      <c r="O35" s="36">
        <f>O27*(1-'Key Variables'!$C$23)</f>
        <v>112.29166666666667</v>
      </c>
      <c r="P35" s="36">
        <f>P27*(1-'Key Variables'!$C$23)</f>
        <v>122.50000000000001</v>
      </c>
      <c r="Q35" s="36">
        <f>Q27*(1-'Key Variables'!$C$23)</f>
        <v>132.70833333333334</v>
      </c>
      <c r="R35" s="36">
        <f>R27*(1-'Key Variables'!$C$23)</f>
        <v>142.91666666666669</v>
      </c>
      <c r="S35" s="36">
        <f>S27*(1-'Key Variables'!$C$23)</f>
        <v>153.12500000000006</v>
      </c>
      <c r="T35" s="36">
        <f>T27*(1-'Key Variables'!$C$23)</f>
        <v>163.33333333333337</v>
      </c>
      <c r="U35" s="36">
        <f>U27*(1-'Key Variables'!$C$23)</f>
        <v>173.54166666666671</v>
      </c>
      <c r="V35" s="36">
        <f>V27*(1-'Key Variables'!$C$23)</f>
        <v>183.75000000000006</v>
      </c>
      <c r="W35" s="36">
        <f>W27*(1-'Key Variables'!$C$23)</f>
        <v>193.9583333333334</v>
      </c>
      <c r="X35" s="36">
        <f>X27*(1-'Key Variables'!$C$23)</f>
        <v>204.16666666666671</v>
      </c>
      <c r="Y35" s="36">
        <f>Y27*(1-'Key Variables'!$C$23)</f>
        <v>214.37500000000003</v>
      </c>
      <c r="Z35" s="36">
        <f>Z27*(1-'Key Variables'!$C$23)</f>
        <v>227.13541666666671</v>
      </c>
      <c r="AA35" s="36">
        <f>AA27*(1-'Key Variables'!$C$23)</f>
        <v>239.89583333333337</v>
      </c>
      <c r="AB35" s="36">
        <f>AB27*(1-'Key Variables'!$C$23)</f>
        <v>252.65625000000014</v>
      </c>
      <c r="AC35" s="36">
        <f>AC27*(1-'Key Variables'!$C$23)</f>
        <v>265.41666666666674</v>
      </c>
      <c r="AD35" s="36">
        <f>AD27*(1-'Key Variables'!$C$23)</f>
        <v>278.17708333333343</v>
      </c>
      <c r="AE35" s="36">
        <f>AE27*(1-'Key Variables'!$C$23)</f>
        <v>290.93750000000011</v>
      </c>
      <c r="AF35" s="36">
        <f>AF27*(1-'Key Variables'!$C$23)</f>
        <v>303.6979166666668</v>
      </c>
      <c r="AG35" s="36">
        <f>AG27*(1-'Key Variables'!$C$23)</f>
        <v>316.45833333333354</v>
      </c>
      <c r="AH35" s="36">
        <f>AH27*(1-'Key Variables'!$C$23)</f>
        <v>329.21875000000017</v>
      </c>
      <c r="AI35" s="36">
        <f>AI27*(1-'Key Variables'!$C$23)</f>
        <v>341.9791666666668</v>
      </c>
      <c r="AJ35" s="36">
        <f>AJ27*(1-'Key Variables'!$C$23)</f>
        <v>354.73958333333354</v>
      </c>
      <c r="AK35" s="36">
        <f>AK27*(1-'Key Variables'!$C$23)</f>
        <v>367.50000000000011</v>
      </c>
      <c r="AL35" s="36">
        <f>AL27*(1-'Key Variables'!$C$23)</f>
        <v>382.81250000000011</v>
      </c>
      <c r="AM35" s="36">
        <f>AM27*(1-'Key Variables'!$C$23)</f>
        <v>398.12500000000011</v>
      </c>
      <c r="AN35" s="36">
        <f>AN27*(1-'Key Variables'!$C$23)</f>
        <v>413.43750000000011</v>
      </c>
      <c r="AO35" s="36">
        <f>AO27*(1-'Key Variables'!$C$23)</f>
        <v>428.75000000000011</v>
      </c>
      <c r="AP35" s="36">
        <f>AP27*(1-'Key Variables'!$C$23)</f>
        <v>444.06250000000011</v>
      </c>
      <c r="AQ35" s="36">
        <f>AQ27*(1-'Key Variables'!$C$23)</f>
        <v>459.37500000000011</v>
      </c>
      <c r="AR35" s="36">
        <f>AR27*(1-'Key Variables'!$C$23)</f>
        <v>474.68750000000011</v>
      </c>
      <c r="AS35" s="36">
        <f>AS27*(1-'Key Variables'!$C$23)</f>
        <v>490.00000000000011</v>
      </c>
      <c r="AT35" s="36">
        <f>AT27*(1-'Key Variables'!$C$23)</f>
        <v>505.31250000000028</v>
      </c>
      <c r="AU35" s="36">
        <f>AU27*(1-'Key Variables'!$C$23)</f>
        <v>520.62500000000034</v>
      </c>
      <c r="AV35" s="36">
        <f>AV27*(1-'Key Variables'!$C$23)</f>
        <v>535.93750000000034</v>
      </c>
      <c r="AW35" s="36">
        <f>AW27*(1-'Key Variables'!$C$23)</f>
        <v>551.25000000000023</v>
      </c>
      <c r="AX35" s="4">
        <f t="shared" si="38"/>
        <v>11668.125000000002</v>
      </c>
      <c r="AY35" s="60">
        <f>1-(AX35/AX27)</f>
        <v>0.65</v>
      </c>
    </row>
    <row r="36" spans="1:51" hidden="1" x14ac:dyDescent="0.25">
      <c r="A36" s="10" t="s">
        <v>133</v>
      </c>
      <c r="B36" s="36">
        <f>B28*(1-'Key Variables'!$C$22)</f>
        <v>378.12500000000006</v>
      </c>
      <c r="C36" s="36">
        <f>C28*(1-'Key Variables'!$C$22)</f>
        <v>756.25000000000011</v>
      </c>
      <c r="D36" s="36">
        <f>D28*(1-'Key Variables'!$C$22)</f>
        <v>1134.375</v>
      </c>
      <c r="E36" s="36">
        <f>E28*(1-'Key Variables'!$C$22)</f>
        <v>1512.5000000000002</v>
      </c>
      <c r="F36" s="36">
        <f>F28*(1-'Key Variables'!$C$22)</f>
        <v>1890.6250000000002</v>
      </c>
      <c r="G36" s="36">
        <f>G28*(1-'Key Variables'!$C$22)</f>
        <v>2268.75</v>
      </c>
      <c r="H36" s="36">
        <f>H28*(1-'Key Variables'!$C$22)</f>
        <v>2646.875</v>
      </c>
      <c r="I36" s="36">
        <f>I28*(1-'Key Variables'!$C$22)</f>
        <v>3025.0000000000005</v>
      </c>
      <c r="J36" s="36">
        <f>J28*(1-'Key Variables'!$C$22)</f>
        <v>3403.1250000000005</v>
      </c>
      <c r="K36" s="36">
        <f>K28*(1-'Key Variables'!$C$22)</f>
        <v>3781.2500000000005</v>
      </c>
      <c r="L36" s="36">
        <f>L28*(1-'Key Variables'!$C$22)</f>
        <v>4159.375</v>
      </c>
      <c r="M36" s="36">
        <f>M28*(1-'Key Variables'!$C$22)</f>
        <v>4537.5</v>
      </c>
      <c r="N36" s="36">
        <f>N28*(1-'Key Variables'!$C$22)</f>
        <v>5041.6666666666679</v>
      </c>
      <c r="O36" s="36">
        <f>O28*(1-'Key Variables'!$C$22)</f>
        <v>5545.8333333333348</v>
      </c>
      <c r="P36" s="36">
        <f>P28*(1-'Key Variables'!$C$22)</f>
        <v>6050.0000000000018</v>
      </c>
      <c r="Q36" s="36">
        <f>Q28*(1-'Key Variables'!$C$22)</f>
        <v>6554.1666666666688</v>
      </c>
      <c r="R36" s="36">
        <f>R28*(1-'Key Variables'!$C$22)</f>
        <v>7058.3333333333367</v>
      </c>
      <c r="S36" s="36">
        <f>S28*(1-'Key Variables'!$C$22)</f>
        <v>7562.5000000000036</v>
      </c>
      <c r="T36" s="36">
        <f>T28*(1-'Key Variables'!$C$22)</f>
        <v>8066.6666666666697</v>
      </c>
      <c r="U36" s="36">
        <f>U28*(1-'Key Variables'!$C$22)</f>
        <v>8570.8333333333376</v>
      </c>
      <c r="V36" s="36">
        <f>V28*(1-'Key Variables'!$C$22)</f>
        <v>9075.0000000000055</v>
      </c>
      <c r="W36" s="36">
        <f>W28*(1-'Key Variables'!$C$22)</f>
        <v>9579.1666666666715</v>
      </c>
      <c r="X36" s="36">
        <f>X28*(1-'Key Variables'!$C$22)</f>
        <v>10083.333333333338</v>
      </c>
      <c r="Y36" s="36">
        <f>Y28*(1-'Key Variables'!$C$22)</f>
        <v>10587.500000000004</v>
      </c>
      <c r="Z36" s="36">
        <f>Z28*(1-'Key Variables'!$C$22)</f>
        <v>11217.708333333338</v>
      </c>
      <c r="AA36" s="36">
        <f>AA28*(1-'Key Variables'!$C$22)</f>
        <v>11847.916666666672</v>
      </c>
      <c r="AB36" s="36">
        <f>AB28*(1-'Key Variables'!$C$22)</f>
        <v>12478.125000000007</v>
      </c>
      <c r="AC36" s="36">
        <f>AC28*(1-'Key Variables'!$C$22)</f>
        <v>13108.333333333339</v>
      </c>
      <c r="AD36" s="36">
        <f>AD28*(1-'Key Variables'!$C$22)</f>
        <v>13738.541666666675</v>
      </c>
      <c r="AE36" s="36">
        <f>AE28*(1-'Key Variables'!$C$22)</f>
        <v>14368.750000000007</v>
      </c>
      <c r="AF36" s="36">
        <f>AF28*(1-'Key Variables'!$C$22)</f>
        <v>14998.958333333341</v>
      </c>
      <c r="AG36" s="36">
        <f>AG28*(1-'Key Variables'!$C$22)</f>
        <v>15629.166666666677</v>
      </c>
      <c r="AH36" s="36">
        <f>AH28*(1-'Key Variables'!$C$22)</f>
        <v>16259.375000000007</v>
      </c>
      <c r="AI36" s="36">
        <f>AI28*(1-'Key Variables'!$C$22)</f>
        <v>16889.583333333343</v>
      </c>
      <c r="AJ36" s="36">
        <f>AJ28*(1-'Key Variables'!$C$22)</f>
        <v>17519.791666666675</v>
      </c>
      <c r="AK36" s="36">
        <f>AK28*(1-'Key Variables'!$C$22)</f>
        <v>18150.000000000015</v>
      </c>
      <c r="AL36" s="36">
        <f>AL28*(1-'Key Variables'!$C$22)</f>
        <v>18906.250000000015</v>
      </c>
      <c r="AM36" s="36">
        <f>AM28*(1-'Key Variables'!$C$22)</f>
        <v>19662.500000000011</v>
      </c>
      <c r="AN36" s="36">
        <f>AN28*(1-'Key Variables'!$C$22)</f>
        <v>20418.750000000011</v>
      </c>
      <c r="AO36" s="36">
        <f>AO28*(1-'Key Variables'!$C$22)</f>
        <v>21175.000000000011</v>
      </c>
      <c r="AP36" s="36">
        <f>AP28*(1-'Key Variables'!$C$22)</f>
        <v>21931.250000000011</v>
      </c>
      <c r="AQ36" s="36">
        <f>AQ28*(1-'Key Variables'!$C$22)</f>
        <v>22687.500000000011</v>
      </c>
      <c r="AR36" s="36">
        <f>AR28*(1-'Key Variables'!$C$22)</f>
        <v>23443.750000000011</v>
      </c>
      <c r="AS36" s="36">
        <f>AS28*(1-'Key Variables'!$C$22)</f>
        <v>24200.000000000011</v>
      </c>
      <c r="AT36" s="36">
        <f>AT28*(1-'Key Variables'!$C$22)</f>
        <v>24956.250000000015</v>
      </c>
      <c r="AU36" s="36">
        <f>AU28*(1-'Key Variables'!$C$22)</f>
        <v>25712.500000000015</v>
      </c>
      <c r="AV36" s="36">
        <f>AV28*(1-'Key Variables'!$C$22)</f>
        <v>26468.750000000015</v>
      </c>
      <c r="AW36" s="36">
        <f>AW28*(1-'Key Variables'!$C$22)</f>
        <v>27225.000000000015</v>
      </c>
      <c r="AX36" s="4">
        <f t="shared" si="38"/>
        <v>576262.50000000023</v>
      </c>
      <c r="AY36" s="61">
        <f>1-(AX36/AX28)</f>
        <v>0.44999999999999984</v>
      </c>
    </row>
    <row r="37" spans="1:51" hidden="1" x14ac:dyDescent="0.25">
      <c r="A37" s="10" t="s">
        <v>144</v>
      </c>
      <c r="B37" s="36">
        <f>B29*(1-'Key Variables'!$C$21)</f>
        <v>0</v>
      </c>
      <c r="C37" s="36">
        <f>C29*(1-'Key Variables'!$C$21)</f>
        <v>0</v>
      </c>
      <c r="D37" s="36">
        <f>D29*(1-'Key Variables'!$C$21)</f>
        <v>0</v>
      </c>
      <c r="E37" s="36">
        <f>E29*(1-'Key Variables'!$C$21)</f>
        <v>0</v>
      </c>
      <c r="F37" s="36">
        <f>F29*(1-'Key Variables'!$C$21)</f>
        <v>0</v>
      </c>
      <c r="G37" s="36">
        <f>G29*(1-'Key Variables'!$C$21)</f>
        <v>0</v>
      </c>
      <c r="H37" s="36">
        <f>H29*(1-'Key Variables'!$C$21)</f>
        <v>169.27083333333334</v>
      </c>
      <c r="I37" s="36">
        <f>I29*(1-'Key Variables'!$C$21)</f>
        <v>338.54166666666669</v>
      </c>
      <c r="J37" s="36">
        <f>J29*(1-'Key Variables'!$C$21)</f>
        <v>507.8125</v>
      </c>
      <c r="K37" s="36">
        <f>K29*(1-'Key Variables'!$C$21)</f>
        <v>677.08333333333337</v>
      </c>
      <c r="L37" s="36">
        <f>L29*(1-'Key Variables'!$C$21)</f>
        <v>846.35416666666663</v>
      </c>
      <c r="M37" s="36">
        <f>M29*(1-'Key Variables'!$C$21)</f>
        <v>1015.625</v>
      </c>
      <c r="N37" s="36">
        <f>N29*(1-'Key Variables'!$C$21)</f>
        <v>1184.8958333333335</v>
      </c>
      <c r="O37" s="36">
        <f>O29*(1-'Key Variables'!$C$21)</f>
        <v>1354.1666666666667</v>
      </c>
      <c r="P37" s="36">
        <f>P29*(1-'Key Variables'!$C$21)</f>
        <v>1523.4375</v>
      </c>
      <c r="Q37" s="36">
        <f>Q29*(1-'Key Variables'!$C$21)</f>
        <v>1692.7083333333333</v>
      </c>
      <c r="R37" s="36">
        <f>R29*(1-'Key Variables'!$C$21)</f>
        <v>1861.9791666666667</v>
      </c>
      <c r="S37" s="36">
        <f>S29*(1-'Key Variables'!$C$21)</f>
        <v>2031.25</v>
      </c>
      <c r="T37" s="36">
        <f>T29*(1-'Key Variables'!$C$21)</f>
        <v>2256.9444444444448</v>
      </c>
      <c r="U37" s="36">
        <f>U29*(1-'Key Variables'!$C$21)</f>
        <v>2482.6388888888891</v>
      </c>
      <c r="V37" s="36">
        <f>V29*(1-'Key Variables'!$C$21)</f>
        <v>2708.3333333333335</v>
      </c>
      <c r="W37" s="36">
        <f>W29*(1-'Key Variables'!$C$21)</f>
        <v>2934.0277777777783</v>
      </c>
      <c r="X37" s="36">
        <f>X29*(1-'Key Variables'!$C$21)</f>
        <v>3159.7222222222231</v>
      </c>
      <c r="Y37" s="36">
        <f>Y29*(1-'Key Variables'!$C$21)</f>
        <v>3385.4166666666683</v>
      </c>
      <c r="Z37" s="36">
        <f>Z29*(1-'Key Variables'!$C$21)</f>
        <v>3611.1111111111127</v>
      </c>
      <c r="AA37" s="36">
        <f>AA29*(1-'Key Variables'!$C$21)</f>
        <v>3836.805555555557</v>
      </c>
      <c r="AB37" s="36">
        <f>AB29*(1-'Key Variables'!$C$21)</f>
        <v>4062.5000000000018</v>
      </c>
      <c r="AC37" s="36">
        <f>AC29*(1-'Key Variables'!$C$21)</f>
        <v>4288.1944444444471</v>
      </c>
      <c r="AD37" s="36">
        <f>AD29*(1-'Key Variables'!$C$21)</f>
        <v>4513.8888888888905</v>
      </c>
      <c r="AE37" s="36">
        <f>AE29*(1-'Key Variables'!$C$21)</f>
        <v>4739.5833333333339</v>
      </c>
      <c r="AF37" s="36">
        <f>AF29*(1-'Key Variables'!$C$21)</f>
        <v>5021.7013888888905</v>
      </c>
      <c r="AG37" s="36">
        <f>AG29*(1-'Key Variables'!$C$21)</f>
        <v>5303.8194444444471</v>
      </c>
      <c r="AH37" s="36">
        <f>AH29*(1-'Key Variables'!$C$21)</f>
        <v>5585.9375000000036</v>
      </c>
      <c r="AI37" s="36">
        <f>AI29*(1-'Key Variables'!$C$21)</f>
        <v>5868.0555555555575</v>
      </c>
      <c r="AJ37" s="36">
        <f>AJ29*(1-'Key Variables'!$C$21)</f>
        <v>6150.173611111114</v>
      </c>
      <c r="AK37" s="36">
        <f>AK29*(1-'Key Variables'!$C$21)</f>
        <v>6432.2916666666697</v>
      </c>
      <c r="AL37" s="36">
        <f>AL29*(1-'Key Variables'!$C$21)</f>
        <v>6714.4097222222254</v>
      </c>
      <c r="AM37" s="36">
        <f>AM29*(1-'Key Variables'!$C$21)</f>
        <v>6996.5277777777828</v>
      </c>
      <c r="AN37" s="36">
        <f>AN29*(1-'Key Variables'!$C$21)</f>
        <v>7278.6458333333367</v>
      </c>
      <c r="AO37" s="36">
        <f>AO29*(1-'Key Variables'!$C$21)</f>
        <v>7560.7638888888932</v>
      </c>
      <c r="AP37" s="36">
        <f>AP29*(1-'Key Variables'!$C$21)</f>
        <v>7842.8819444444489</v>
      </c>
      <c r="AQ37" s="36">
        <f>AQ29*(1-'Key Variables'!$C$21)</f>
        <v>8125.0000000000055</v>
      </c>
      <c r="AR37" s="36">
        <f>AR29*(1-'Key Variables'!$C$21)</f>
        <v>8463.5416666666715</v>
      </c>
      <c r="AS37" s="36">
        <f>AS29*(1-'Key Variables'!$C$21)</f>
        <v>8802.0833333333376</v>
      </c>
      <c r="AT37" s="36">
        <f>AT29*(1-'Key Variables'!$C$21)</f>
        <v>9140.6250000000036</v>
      </c>
      <c r="AU37" s="36">
        <f>AU29*(1-'Key Variables'!$C$21)</f>
        <v>9479.1666666666697</v>
      </c>
      <c r="AV37" s="36">
        <f>AV29*(1-'Key Variables'!$C$21)</f>
        <v>9817.7083333333376</v>
      </c>
      <c r="AW37" s="36">
        <f>AW29*(1-'Key Variables'!$C$21)</f>
        <v>10156.250000000004</v>
      </c>
      <c r="AX37" s="4">
        <f t="shared" si="38"/>
        <v>189921.87500000009</v>
      </c>
      <c r="AY37" s="61">
        <f>1-(AX37/AX29)</f>
        <v>0.35</v>
      </c>
    </row>
    <row r="38" spans="1:51" hidden="1" x14ac:dyDescent="0.25">
      <c r="A38" s="10" t="s">
        <v>135</v>
      </c>
      <c r="B38" s="36">
        <f>B30*(1-'Key Variables'!$C$104)</f>
        <v>0</v>
      </c>
      <c r="C38" s="36">
        <f>C30*(1-'Key Variables'!$C$104)</f>
        <v>0</v>
      </c>
      <c r="D38" s="36">
        <f>D30*(1-'Key Variables'!$C$104)</f>
        <v>0</v>
      </c>
      <c r="E38" s="36">
        <f>E30*(1-'Key Variables'!$C$104)</f>
        <v>0</v>
      </c>
      <c r="F38" s="36">
        <f>F30*(1-'Key Variables'!$C$104)</f>
        <v>0</v>
      </c>
      <c r="G38" s="36">
        <f>G30*(1-'Key Variables'!$C$104)</f>
        <v>0</v>
      </c>
      <c r="H38" s="36">
        <f>H30*(1-'Key Variables'!$C$104)</f>
        <v>0</v>
      </c>
      <c r="I38" s="36">
        <f>I30*(1-'Key Variables'!$C$104)</f>
        <v>0</v>
      </c>
      <c r="J38" s="36">
        <f>J30*(1-'Key Variables'!$C$104)</f>
        <v>0</v>
      </c>
      <c r="K38" s="36">
        <f>K30*(1-'Key Variables'!$C$104)</f>
        <v>0</v>
      </c>
      <c r="L38" s="36">
        <f>L30*(1-'Key Variables'!$C$104)</f>
        <v>0</v>
      </c>
      <c r="M38" s="36">
        <f>M30*(1-'Key Variables'!$C$104)</f>
        <v>0</v>
      </c>
      <c r="N38" s="36">
        <f>N30*(1-'Key Variables'!$C$104)</f>
        <v>0</v>
      </c>
      <c r="O38" s="36">
        <f>O30*(1-'Key Variables'!$C$104)</f>
        <v>0</v>
      </c>
      <c r="P38" s="36">
        <f>P30*(1-'Key Variables'!$C$104)</f>
        <v>0</v>
      </c>
      <c r="Q38" s="36">
        <f>Q30*(1-'Key Variables'!$C$104)</f>
        <v>0</v>
      </c>
      <c r="R38" s="36">
        <f>R30*(1-'Key Variables'!$C$104)</f>
        <v>0</v>
      </c>
      <c r="S38" s="36">
        <f>S30*(1-'Key Variables'!$C$104)</f>
        <v>0</v>
      </c>
      <c r="T38" s="36">
        <f>T30*(1-'Key Variables'!$C$104)</f>
        <v>0</v>
      </c>
      <c r="U38" s="36">
        <f>U30*(1-'Key Variables'!$C$104)</f>
        <v>0</v>
      </c>
      <c r="V38" s="36">
        <f>V30*(1-'Key Variables'!$C$104)</f>
        <v>0</v>
      </c>
      <c r="W38" s="36">
        <f>W30*(1-'Key Variables'!$C$104)</f>
        <v>0</v>
      </c>
      <c r="X38" s="36">
        <f>X30*(1-'Key Variables'!$C$104)</f>
        <v>0</v>
      </c>
      <c r="Y38" s="36">
        <f>Y30*(1-'Key Variables'!$C$104)</f>
        <v>0</v>
      </c>
      <c r="Z38" s="36">
        <f>Z30*(1-'Key Variables'!$C$104)</f>
        <v>0</v>
      </c>
      <c r="AA38" s="36">
        <f>AA30*(1-'Key Variables'!$C$104)</f>
        <v>0</v>
      </c>
      <c r="AB38" s="36">
        <f>AB30*(1-'Key Variables'!$C$104)</f>
        <v>0</v>
      </c>
      <c r="AC38" s="36">
        <f>AC30*(1-'Key Variables'!$C$104)</f>
        <v>0</v>
      </c>
      <c r="AD38" s="36">
        <f>AD30*(1-'Key Variables'!$C$104)</f>
        <v>0</v>
      </c>
      <c r="AE38" s="36">
        <f>AE30*(1-'Key Variables'!$C$104)</f>
        <v>0</v>
      </c>
      <c r="AF38" s="36">
        <f>AF30*(1-'Key Variables'!$C$104)</f>
        <v>0</v>
      </c>
      <c r="AG38" s="36">
        <f>AG30*(1-'Key Variables'!$C$104)</f>
        <v>0</v>
      </c>
      <c r="AH38" s="36">
        <f>AH30*(1-'Key Variables'!$C$104)</f>
        <v>0</v>
      </c>
      <c r="AI38" s="36">
        <f>AI30*(1-'Key Variables'!$C$104)</f>
        <v>0</v>
      </c>
      <c r="AJ38" s="36">
        <f>AJ30*(1-'Key Variables'!$C$104)</f>
        <v>0</v>
      </c>
      <c r="AK38" s="36">
        <f>AK30*(1-'Key Variables'!$C$104)</f>
        <v>0</v>
      </c>
      <c r="AL38" s="36">
        <f>AL30*(1-'Key Variables'!$C$104)</f>
        <v>0</v>
      </c>
      <c r="AM38" s="36">
        <f>AM30*(1-'Key Variables'!$C$104)</f>
        <v>0</v>
      </c>
      <c r="AN38" s="36">
        <f>AN30*(1-'Key Variables'!$C$104)</f>
        <v>0</v>
      </c>
      <c r="AO38" s="36">
        <f>AO30*(1-'Key Variables'!$C$104)</f>
        <v>0</v>
      </c>
      <c r="AP38" s="36">
        <f>AP30*(1-'Key Variables'!$C$104)</f>
        <v>0</v>
      </c>
      <c r="AQ38" s="36">
        <f>AQ30*(1-'Key Variables'!$C$104)</f>
        <v>0</v>
      </c>
      <c r="AR38" s="36">
        <f>AR30*(1-'Key Variables'!$C$104)</f>
        <v>0</v>
      </c>
      <c r="AS38" s="36">
        <f>AS30*(1-'Key Variables'!$C$104)</f>
        <v>0</v>
      </c>
      <c r="AT38" s="36">
        <f>AT30*(1-'Key Variables'!$C$104)</f>
        <v>0</v>
      </c>
      <c r="AU38" s="36">
        <f>AU30*(1-'Key Variables'!$C$104)</f>
        <v>0</v>
      </c>
      <c r="AV38" s="36">
        <f>AV30*(1-'Key Variables'!$C$104)</f>
        <v>0</v>
      </c>
      <c r="AW38" s="36">
        <f>AW30*(1-'Key Variables'!$C$104)</f>
        <v>0</v>
      </c>
      <c r="AX38" s="4">
        <f t="shared" si="38"/>
        <v>0</v>
      </c>
      <c r="AY38" s="61" t="e">
        <f>1-(AX38/AX30)</f>
        <v>#DIV/0!</v>
      </c>
    </row>
    <row r="39" spans="1:51" hidden="1" x14ac:dyDescent="0.25">
      <c r="A39" s="10" t="s">
        <v>189</v>
      </c>
      <c r="B39" s="36">
        <f>B31*(1-'Key Variables'!$C$105)</f>
        <v>0</v>
      </c>
      <c r="C39" s="36">
        <f>C31*(1-'Key Variables'!$C$105)</f>
        <v>0</v>
      </c>
      <c r="D39" s="36">
        <f>D31*(1-'Key Variables'!$C$105)</f>
        <v>0</v>
      </c>
      <c r="E39" s="36">
        <f>E31*(1-'Key Variables'!$C$105)</f>
        <v>0</v>
      </c>
      <c r="F39" s="36">
        <f>F31*(1-'Key Variables'!$C$105)</f>
        <v>0</v>
      </c>
      <c r="G39" s="36">
        <f>G31*(1-'Key Variables'!$C$105)</f>
        <v>0</v>
      </c>
      <c r="H39" s="36">
        <f>H31*(1-'Key Variables'!$C$105)</f>
        <v>0</v>
      </c>
      <c r="I39" s="36">
        <f>I31*(1-'Key Variables'!$C$105)</f>
        <v>0</v>
      </c>
      <c r="J39" s="36">
        <f>J31*(1-'Key Variables'!$C$105)</f>
        <v>0</v>
      </c>
      <c r="K39" s="36">
        <f>K31*(1-'Key Variables'!$C$105)</f>
        <v>0</v>
      </c>
      <c r="L39" s="36">
        <f>L31*(1-'Key Variables'!$C$105)</f>
        <v>0</v>
      </c>
      <c r="M39" s="36">
        <f>M31*(1-'Key Variables'!$C$105)</f>
        <v>0</v>
      </c>
      <c r="N39" s="36">
        <f>N31*(1-'Key Variables'!$C$105)</f>
        <v>0</v>
      </c>
      <c r="O39" s="36">
        <f>O31*(1-'Key Variables'!$C$105)</f>
        <v>0</v>
      </c>
      <c r="P39" s="36">
        <f>P31*(1-'Key Variables'!$C$105)</f>
        <v>0</v>
      </c>
      <c r="Q39" s="36">
        <f>Q31*(1-'Key Variables'!$C$105)</f>
        <v>0</v>
      </c>
      <c r="R39" s="36">
        <f>R31*(1-'Key Variables'!$C$105)</f>
        <v>0</v>
      </c>
      <c r="S39" s="36">
        <f>S31*(1-'Key Variables'!$C$105)</f>
        <v>0</v>
      </c>
      <c r="T39" s="36">
        <f>T31*(1-'Key Variables'!$C$105)</f>
        <v>0</v>
      </c>
      <c r="U39" s="36">
        <f>U31*(1-'Key Variables'!$C$105)</f>
        <v>0</v>
      </c>
      <c r="V39" s="36">
        <f>V31*(1-'Key Variables'!$C$105)</f>
        <v>0</v>
      </c>
      <c r="W39" s="36">
        <f>W31*(1-'Key Variables'!$C$105)</f>
        <v>0</v>
      </c>
      <c r="X39" s="36">
        <f>X31*(1-'Key Variables'!$C$105)</f>
        <v>0</v>
      </c>
      <c r="Y39" s="36">
        <f>Y31*(1-'Key Variables'!$C$105)</f>
        <v>0</v>
      </c>
      <c r="Z39" s="36">
        <f>Z31*(1-'Key Variables'!$C$105)</f>
        <v>0</v>
      </c>
      <c r="AA39" s="36">
        <f>AA31*(1-'Key Variables'!$C$105)</f>
        <v>0</v>
      </c>
      <c r="AB39" s="36">
        <f>AB31*(1-'Key Variables'!$C$105)</f>
        <v>0</v>
      </c>
      <c r="AC39" s="36">
        <f>AC31*(1-'Key Variables'!$C$105)</f>
        <v>0</v>
      </c>
      <c r="AD39" s="36">
        <f>AD31*(1-'Key Variables'!$C$105)</f>
        <v>0</v>
      </c>
      <c r="AE39" s="36">
        <f>AE31*(1-'Key Variables'!$C$105)</f>
        <v>0</v>
      </c>
      <c r="AF39" s="36">
        <f>AF31*(1-'Key Variables'!$C$105)</f>
        <v>0</v>
      </c>
      <c r="AG39" s="36">
        <f>AG31*(1-'Key Variables'!$C$105)</f>
        <v>0</v>
      </c>
      <c r="AH39" s="36">
        <f>AH31*(1-'Key Variables'!$C$105)</f>
        <v>0</v>
      </c>
      <c r="AI39" s="36">
        <f>AI31*(1-'Key Variables'!$C$105)</f>
        <v>0</v>
      </c>
      <c r="AJ39" s="36">
        <f>AJ31*(1-'Key Variables'!$C$105)</f>
        <v>0</v>
      </c>
      <c r="AK39" s="36">
        <f>AK31*(1-'Key Variables'!$C$105)</f>
        <v>0</v>
      </c>
      <c r="AL39" s="36">
        <f>AL31*(1-'Key Variables'!$C$105)</f>
        <v>0</v>
      </c>
      <c r="AM39" s="36">
        <f>AM31*(1-'Key Variables'!$C$105)</f>
        <v>0</v>
      </c>
      <c r="AN39" s="36">
        <f>AN31*(1-'Key Variables'!$C$105)</f>
        <v>0</v>
      </c>
      <c r="AO39" s="36">
        <f>AO31*(1-'Key Variables'!$C$105)</f>
        <v>0</v>
      </c>
      <c r="AP39" s="36">
        <f>AP31*(1-'Key Variables'!$C$105)</f>
        <v>0</v>
      </c>
      <c r="AQ39" s="36">
        <f>AQ31*(1-'Key Variables'!$C$105)</f>
        <v>0</v>
      </c>
      <c r="AR39" s="36">
        <f>AR31*(1-'Key Variables'!$C$105)</f>
        <v>0</v>
      </c>
      <c r="AS39" s="36">
        <f>AS31*(1-'Key Variables'!$C$105)</f>
        <v>0</v>
      </c>
      <c r="AT39" s="36">
        <f>AT31*(1-'Key Variables'!$C$105)</f>
        <v>0</v>
      </c>
      <c r="AU39" s="36">
        <f>AU31*(1-'Key Variables'!$C$105)</f>
        <v>0</v>
      </c>
      <c r="AV39" s="36">
        <f>AV31*(1-'Key Variables'!$C$105)</f>
        <v>0</v>
      </c>
      <c r="AW39" s="36">
        <f>AW31*(1-'Key Variables'!$C$105)</f>
        <v>0</v>
      </c>
      <c r="AX39" s="4">
        <f t="shared" si="38"/>
        <v>0</v>
      </c>
      <c r="AY39" s="61" t="e">
        <f t="shared" ref="AY39:AY40" si="39">1-(AX39/AX31)</f>
        <v>#DIV/0!</v>
      </c>
    </row>
    <row r="40" spans="1:51" hidden="1" x14ac:dyDescent="0.25">
      <c r="A40" s="10" t="s">
        <v>190</v>
      </c>
      <c r="B40" s="36">
        <f>B32*(1-'Key Variables'!$C$20)</f>
        <v>1300</v>
      </c>
      <c r="C40" s="36">
        <f>C32*(1-'Key Variables'!$C$20)</f>
        <v>2600</v>
      </c>
      <c r="D40" s="36">
        <f>D32*(1-'Key Variables'!$C$20)</f>
        <v>3900</v>
      </c>
      <c r="E40" s="36">
        <f>E32*(1-'Key Variables'!$C$20)</f>
        <v>5200</v>
      </c>
      <c r="F40" s="36">
        <f>F32*(1-'Key Variables'!$C$20)</f>
        <v>6500</v>
      </c>
      <c r="G40" s="36">
        <f>G32*(1-'Key Variables'!$C$20)</f>
        <v>7800</v>
      </c>
      <c r="H40" s="36">
        <f>H32*(1-'Key Variables'!$C$20)</f>
        <v>9100</v>
      </c>
      <c r="I40" s="36">
        <f>I32*(1-'Key Variables'!$C$20)</f>
        <v>10400</v>
      </c>
      <c r="J40" s="36">
        <f>J32*(1-'Key Variables'!$C$20)</f>
        <v>11700</v>
      </c>
      <c r="K40" s="36">
        <f>K32*(1-'Key Variables'!$C$20)</f>
        <v>13000</v>
      </c>
      <c r="L40" s="36">
        <f>L32*(1-'Key Variables'!$C$20)</f>
        <v>14300</v>
      </c>
      <c r="M40" s="36">
        <f>M32*(1-'Key Variables'!$C$20)</f>
        <v>15600</v>
      </c>
      <c r="N40" s="36">
        <f>N32*(1-'Key Variables'!$C$20)</f>
        <v>17333.333333333336</v>
      </c>
      <c r="O40" s="36">
        <f>O32*(1-'Key Variables'!$C$20)</f>
        <v>19066.666666666672</v>
      </c>
      <c r="P40" s="36">
        <f>P32*(1-'Key Variables'!$C$20)</f>
        <v>20800.000000000004</v>
      </c>
      <c r="Q40" s="36">
        <f>Q32*(1-'Key Variables'!$C$20)</f>
        <v>22533.333333333339</v>
      </c>
      <c r="R40" s="36">
        <f>R32*(1-'Key Variables'!$C$20)</f>
        <v>24266.666666666675</v>
      </c>
      <c r="S40" s="36">
        <f>S32*(1-'Key Variables'!$C$20)</f>
        <v>26000.000000000015</v>
      </c>
      <c r="T40" s="36">
        <f>T32*(1-'Key Variables'!$C$20)</f>
        <v>27733.333333333343</v>
      </c>
      <c r="U40" s="36">
        <f>U32*(1-'Key Variables'!$C$20)</f>
        <v>29466.666666666675</v>
      </c>
      <c r="V40" s="36">
        <f>V32*(1-'Key Variables'!$C$20)</f>
        <v>31200.000000000015</v>
      </c>
      <c r="W40" s="36">
        <f>W32*(1-'Key Variables'!$C$20)</f>
        <v>32933.33333333335</v>
      </c>
      <c r="X40" s="36">
        <f>X32*(1-'Key Variables'!$C$20)</f>
        <v>34666.666666666679</v>
      </c>
      <c r="Y40" s="36">
        <f>Y32*(1-'Key Variables'!$C$20)</f>
        <v>36400.000000000007</v>
      </c>
      <c r="Z40" s="36">
        <f>Z32*(1-'Key Variables'!$C$20)</f>
        <v>38566.666666666679</v>
      </c>
      <c r="AA40" s="36">
        <f>AA32*(1-'Key Variables'!$C$20)</f>
        <v>40733.33333333335</v>
      </c>
      <c r="AB40" s="36">
        <f>AB32*(1-'Key Variables'!$C$20)</f>
        <v>42900.000000000029</v>
      </c>
      <c r="AC40" s="36">
        <f>AC32*(1-'Key Variables'!$C$20)</f>
        <v>45066.666666666686</v>
      </c>
      <c r="AD40" s="36">
        <f>AD32*(1-'Key Variables'!$C$20)</f>
        <v>47233.333333333358</v>
      </c>
      <c r="AE40" s="36">
        <f>AE32*(1-'Key Variables'!$C$20)</f>
        <v>49400.000000000029</v>
      </c>
      <c r="AF40" s="36">
        <f>AF32*(1-'Key Variables'!$C$20)</f>
        <v>51566.666666666693</v>
      </c>
      <c r="AG40" s="36">
        <f>AG32*(1-'Key Variables'!$C$20)</f>
        <v>53733.333333333365</v>
      </c>
      <c r="AH40" s="36">
        <f>AH32*(1-'Key Variables'!$C$20)</f>
        <v>55900.000000000029</v>
      </c>
      <c r="AI40" s="36">
        <f>AI32*(1-'Key Variables'!$C$20)</f>
        <v>58066.666666666701</v>
      </c>
      <c r="AJ40" s="36">
        <f>AJ32*(1-'Key Variables'!$C$20)</f>
        <v>60233.333333333365</v>
      </c>
      <c r="AK40" s="36">
        <f>AK32*(1-'Key Variables'!$C$20)</f>
        <v>62400.000000000036</v>
      </c>
      <c r="AL40" s="36">
        <f>AL32*(1-'Key Variables'!$C$20)</f>
        <v>65000.000000000036</v>
      </c>
      <c r="AM40" s="36">
        <f>AM32*(1-'Key Variables'!$C$20)</f>
        <v>67600.000000000029</v>
      </c>
      <c r="AN40" s="36">
        <f>AN32*(1-'Key Variables'!$C$20)</f>
        <v>70200.000000000029</v>
      </c>
      <c r="AO40" s="36">
        <f>AO32*(1-'Key Variables'!$C$20)</f>
        <v>72800.000000000029</v>
      </c>
      <c r="AP40" s="36">
        <f>AP32*(1-'Key Variables'!$C$20)</f>
        <v>75400.000000000029</v>
      </c>
      <c r="AQ40" s="36">
        <f>AQ32*(1-'Key Variables'!$C$20)</f>
        <v>78000.000000000029</v>
      </c>
      <c r="AR40" s="36">
        <f>AR32*(1-'Key Variables'!$C$20)</f>
        <v>80600.000000000029</v>
      </c>
      <c r="AS40" s="36">
        <f>AS32*(1-'Key Variables'!$C$20)</f>
        <v>83200.000000000029</v>
      </c>
      <c r="AT40" s="36">
        <f>AT32*(1-'Key Variables'!$C$20)</f>
        <v>85800.000000000058</v>
      </c>
      <c r="AU40" s="36">
        <f>AU32*(1-'Key Variables'!$C$20)</f>
        <v>88400.000000000058</v>
      </c>
      <c r="AV40" s="36">
        <f>AV32*(1-'Key Variables'!$C$20)</f>
        <v>91000.000000000058</v>
      </c>
      <c r="AW40" s="36">
        <f>AW32*(1-'Key Variables'!$C$20)</f>
        <v>93600.000000000058</v>
      </c>
      <c r="AX40" s="4">
        <f t="shared" si="38"/>
        <v>1981200.0000000007</v>
      </c>
      <c r="AY40" s="61">
        <f t="shared" si="39"/>
        <v>0.20000000000000007</v>
      </c>
    </row>
    <row r="41" spans="1:51" hidden="1" x14ac:dyDescent="0.25">
      <c r="A41" s="10"/>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51" s="21" customFormat="1" hidden="1" x14ac:dyDescent="0.25">
      <c r="A42" s="21" t="s">
        <v>73</v>
      </c>
      <c r="B42" s="22">
        <f>B4*'Key Variables'!$C$94*'Key Variables'!$C$84*'Key Variables'!$C$57/100</f>
        <v>0</v>
      </c>
      <c r="C42" s="22">
        <f>C4*'Key Variables'!$C$94*'Key Variables'!$C$84*'Key Variables'!$C$57/100</f>
        <v>0</v>
      </c>
      <c r="D42" s="22">
        <f>D4*'Key Variables'!$C$94*'Key Variables'!$C$84*'Key Variables'!$C$57/100</f>
        <v>0</v>
      </c>
      <c r="E42" s="22">
        <f>E4*'Key Variables'!$C$94*'Key Variables'!$C$84*'Key Variables'!$C$57/100</f>
        <v>0</v>
      </c>
      <c r="F42" s="22">
        <f>F4*'Key Variables'!$C$94*'Key Variables'!$C$84*'Key Variables'!$C$57/100</f>
        <v>0</v>
      </c>
      <c r="G42" s="22">
        <f>G4*'Key Variables'!$C$94*'Key Variables'!$C$84*'Key Variables'!$C$57/100</f>
        <v>0</v>
      </c>
      <c r="H42" s="22">
        <f>H4*'Key Variables'!$C$94*'Key Variables'!$C$84*'Key Variables'!$C$57/100</f>
        <v>0</v>
      </c>
      <c r="I42" s="22">
        <f>I4*'Key Variables'!$C$94*'Key Variables'!$C$84*'Key Variables'!$C$57/100</f>
        <v>0</v>
      </c>
      <c r="J42" s="22">
        <f>J4*'Key Variables'!$C$94*'Key Variables'!$C$84*'Key Variables'!$C$57/100</f>
        <v>0</v>
      </c>
      <c r="K42" s="22">
        <f>K4*'Key Variables'!$C$94*'Key Variables'!$C$84*'Key Variables'!$C$57/100</f>
        <v>0</v>
      </c>
      <c r="L42" s="22">
        <f>L4*'Key Variables'!$C$94*'Key Variables'!$C$84*'Key Variables'!$C$57/100</f>
        <v>0</v>
      </c>
      <c r="M42" s="22">
        <f>M4*'Key Variables'!$C$94*'Key Variables'!$C$84*'Key Variables'!$C$57/100</f>
        <v>0</v>
      </c>
      <c r="N42" s="22">
        <f>N4*'Key Variables'!$C$94*'Key Variables'!$C$84*'Key Variables'!$C$57/100</f>
        <v>0</v>
      </c>
      <c r="O42" s="22">
        <f>O4*'Key Variables'!$C$94*'Key Variables'!$C$84*'Key Variables'!$C$57/100</f>
        <v>0</v>
      </c>
      <c r="P42" s="22">
        <f>P4*'Key Variables'!$C$94*'Key Variables'!$C$84*'Key Variables'!$C$57/100</f>
        <v>0</v>
      </c>
      <c r="Q42" s="22">
        <f>Q4*'Key Variables'!$C$94*'Key Variables'!$C$84*'Key Variables'!$C$57/100</f>
        <v>0</v>
      </c>
      <c r="R42" s="22">
        <f>R4*'Key Variables'!$C$94*'Key Variables'!$C$84*'Key Variables'!$C$57/100</f>
        <v>0</v>
      </c>
      <c r="S42" s="22">
        <f>S4*'Key Variables'!$C$94*'Key Variables'!$C$84*'Key Variables'!$C$57/100</f>
        <v>0</v>
      </c>
      <c r="T42" s="22">
        <f>T4*'Key Variables'!$C$94*'Key Variables'!$C$84*'Key Variables'!$C$57/100</f>
        <v>0</v>
      </c>
      <c r="U42" s="22">
        <f>U4*'Key Variables'!$C$94*'Key Variables'!$C$84*'Key Variables'!$C$57/100</f>
        <v>0</v>
      </c>
      <c r="V42" s="22">
        <f>V4*'Key Variables'!$C$94*'Key Variables'!$C$84*'Key Variables'!$C$57/100</f>
        <v>0</v>
      </c>
      <c r="W42" s="22">
        <f>W4*'Key Variables'!$C$94*'Key Variables'!$C$84*'Key Variables'!$C$57/100</f>
        <v>0</v>
      </c>
      <c r="X42" s="22">
        <f>X4*'Key Variables'!$C$94*'Key Variables'!$C$84*'Key Variables'!$C$57/100</f>
        <v>0</v>
      </c>
      <c r="Y42" s="22">
        <f>Y4*'Key Variables'!$C$94*'Key Variables'!$C$84*'Key Variables'!$C$57/100</f>
        <v>0</v>
      </c>
      <c r="Z42" s="22">
        <f>Z4*'Key Variables'!$C$94*'Key Variables'!$C$84*'Key Variables'!$C$57/100</f>
        <v>0</v>
      </c>
      <c r="AA42" s="22">
        <f>AA4*'Key Variables'!$C$94*'Key Variables'!$C$84*'Key Variables'!$C$57/100</f>
        <v>0</v>
      </c>
      <c r="AB42" s="22">
        <f>AB4*'Key Variables'!$C$94*'Key Variables'!$C$84*'Key Variables'!$C$57/100</f>
        <v>0</v>
      </c>
      <c r="AC42" s="22">
        <f>AC4*'Key Variables'!$C$94*'Key Variables'!$C$84*'Key Variables'!$C$57/100</f>
        <v>0</v>
      </c>
      <c r="AD42" s="22">
        <f>AD4*'Key Variables'!$C$94*'Key Variables'!$C$84*'Key Variables'!$C$57/100</f>
        <v>0</v>
      </c>
      <c r="AE42" s="22">
        <f>AE4*'Key Variables'!$C$94*'Key Variables'!$C$84*'Key Variables'!$C$57/100</f>
        <v>0</v>
      </c>
      <c r="AF42" s="22">
        <f>AF4*'Key Variables'!$C$94*'Key Variables'!$C$84*'Key Variables'!$C$57/100</f>
        <v>0</v>
      </c>
      <c r="AG42" s="22">
        <f>AG4*'Key Variables'!$C$94*'Key Variables'!$C$84*'Key Variables'!$C$57/100</f>
        <v>0</v>
      </c>
      <c r="AH42" s="22">
        <f>AH4*'Key Variables'!$C$94*'Key Variables'!$C$84*'Key Variables'!$C$57/100</f>
        <v>0</v>
      </c>
      <c r="AI42" s="22">
        <f>AI4*'Key Variables'!$C$94*'Key Variables'!$C$84*'Key Variables'!$C$57/100</f>
        <v>0</v>
      </c>
      <c r="AJ42" s="22">
        <f>AJ4*'Key Variables'!$C$94*'Key Variables'!$C$84*'Key Variables'!$C$57/100</f>
        <v>0</v>
      </c>
      <c r="AK42" s="22">
        <f>AK4*'Key Variables'!$C$94*'Key Variables'!$C$84*'Key Variables'!$C$57/100</f>
        <v>0</v>
      </c>
      <c r="AL42" s="22">
        <f>AL4*'Key Variables'!$C$94*'Key Variables'!$C$84*'Key Variables'!$C$57/100</f>
        <v>0</v>
      </c>
      <c r="AM42" s="22">
        <f>AM4*'Key Variables'!$C$94*'Key Variables'!$C$84*'Key Variables'!$C$57/100</f>
        <v>0</v>
      </c>
      <c r="AN42" s="22">
        <f>AN4*'Key Variables'!$C$94*'Key Variables'!$C$84*'Key Variables'!$C$57/100</f>
        <v>0</v>
      </c>
      <c r="AO42" s="22">
        <f>AO4*'Key Variables'!$C$94*'Key Variables'!$C$84*'Key Variables'!$C$57/100</f>
        <v>0</v>
      </c>
      <c r="AP42" s="22">
        <f>AP4*'Key Variables'!$C$94*'Key Variables'!$C$84*'Key Variables'!$C$57/100</f>
        <v>0</v>
      </c>
      <c r="AQ42" s="22">
        <f>AQ4*'Key Variables'!$C$94*'Key Variables'!$C$84*'Key Variables'!$C$57/100</f>
        <v>0</v>
      </c>
      <c r="AR42" s="22">
        <f>AR4*'Key Variables'!$C$94*'Key Variables'!$C$84*'Key Variables'!$C$57/100</f>
        <v>0</v>
      </c>
      <c r="AS42" s="22">
        <f>AS4*'Key Variables'!$C$94*'Key Variables'!$C$84*'Key Variables'!$C$57/100</f>
        <v>0</v>
      </c>
      <c r="AT42" s="22">
        <f>AT4*'Key Variables'!$C$94*'Key Variables'!$C$84*'Key Variables'!$C$57/100</f>
        <v>0</v>
      </c>
      <c r="AU42" s="22">
        <f>AU4*'Key Variables'!$C$94*'Key Variables'!$C$84*'Key Variables'!$C$57/100</f>
        <v>0</v>
      </c>
      <c r="AV42" s="22">
        <f>AV4*'Key Variables'!$C$94*'Key Variables'!$C$84*'Key Variables'!$C$57/100</f>
        <v>0</v>
      </c>
      <c r="AW42" s="22">
        <f>AW4*'Key Variables'!$C$94*'Key Variables'!$C$84*'Key Variables'!$C$57/100</f>
        <v>0</v>
      </c>
      <c r="AX42" s="4">
        <f t="shared" si="38"/>
        <v>0</v>
      </c>
      <c r="AY42" s="22" t="e">
        <f>AX42/AW20</f>
        <v>#DIV/0!</v>
      </c>
    </row>
    <row r="43" spans="1:51" s="21" customFormat="1" hidden="1" x14ac:dyDescent="0.25">
      <c r="A43" s="21" t="s">
        <v>27</v>
      </c>
      <c r="B43" s="22">
        <f>B4*'Key Variables'!$C$96*'Key Variables'!$C$84*'Key Variables'!$C$57/100</f>
        <v>0</v>
      </c>
      <c r="C43" s="22">
        <f>C4*'Key Variables'!$C$96*'Key Variables'!$C$84*'Key Variables'!$C$57/100</f>
        <v>0</v>
      </c>
      <c r="D43" s="22">
        <f>D4*'Key Variables'!$C$96*'Key Variables'!$C$84*'Key Variables'!$C$57/100</f>
        <v>0</v>
      </c>
      <c r="E43" s="22">
        <f>E4*'Key Variables'!$C$96*'Key Variables'!$C$84*'Key Variables'!$C$57/100</f>
        <v>0</v>
      </c>
      <c r="F43" s="22">
        <f>F4*'Key Variables'!$C$96*'Key Variables'!$C$84*'Key Variables'!$C$57/100</f>
        <v>0</v>
      </c>
      <c r="G43" s="22">
        <f>G4*'Key Variables'!$C$96*'Key Variables'!$C$84*'Key Variables'!$C$57/100</f>
        <v>0</v>
      </c>
      <c r="H43" s="22">
        <f>H4*'Key Variables'!$C$96*'Key Variables'!$C$84*'Key Variables'!$C$57/100</f>
        <v>0</v>
      </c>
      <c r="I43" s="22">
        <f>I4*'Key Variables'!$C$96*'Key Variables'!$C$84*'Key Variables'!$C$57/100</f>
        <v>0</v>
      </c>
      <c r="J43" s="22">
        <f>J4*'Key Variables'!$C$96*'Key Variables'!$C$84*'Key Variables'!$C$57/100</f>
        <v>0</v>
      </c>
      <c r="K43" s="22">
        <f>K4*'Key Variables'!$C$96*'Key Variables'!$C$84*'Key Variables'!$C$57/100</f>
        <v>0</v>
      </c>
      <c r="L43" s="22">
        <f>L4*'Key Variables'!$C$96*'Key Variables'!$C$84*'Key Variables'!$C$57/100</f>
        <v>0</v>
      </c>
      <c r="M43" s="22">
        <f>M4*'Key Variables'!$C$96*'Key Variables'!$C$84*'Key Variables'!$C$57/100</f>
        <v>0</v>
      </c>
      <c r="N43" s="22">
        <f>N4*'Key Variables'!$C$96*'Key Variables'!$C$84*'Key Variables'!$C$57/100</f>
        <v>0</v>
      </c>
      <c r="O43" s="22">
        <f>O4*'Key Variables'!$C$96*'Key Variables'!$C$84*'Key Variables'!$C$57/100</f>
        <v>0</v>
      </c>
      <c r="P43" s="22">
        <f>P4*'Key Variables'!$C$96*'Key Variables'!$C$84*'Key Variables'!$C$57/100</f>
        <v>0</v>
      </c>
      <c r="Q43" s="22">
        <f>Q4*'Key Variables'!$C$96*'Key Variables'!$C$84*'Key Variables'!$C$57/100</f>
        <v>0</v>
      </c>
      <c r="R43" s="22">
        <f>R4*'Key Variables'!$C$96*'Key Variables'!$C$84*'Key Variables'!$C$57/100</f>
        <v>0</v>
      </c>
      <c r="S43" s="22">
        <f>S4*'Key Variables'!$C$96*'Key Variables'!$C$84*'Key Variables'!$C$57/100</f>
        <v>0</v>
      </c>
      <c r="T43" s="22">
        <f>T4*'Key Variables'!$C$96*'Key Variables'!$C$84*'Key Variables'!$C$57/100</f>
        <v>0</v>
      </c>
      <c r="U43" s="22">
        <f>U4*'Key Variables'!$C$96*'Key Variables'!$C$84*'Key Variables'!$C$57/100</f>
        <v>0</v>
      </c>
      <c r="V43" s="22">
        <f>V4*'Key Variables'!$C$96*'Key Variables'!$C$84*'Key Variables'!$C$57/100</f>
        <v>0</v>
      </c>
      <c r="W43" s="22">
        <f>W4*'Key Variables'!$C$96*'Key Variables'!$C$84*'Key Variables'!$C$57/100</f>
        <v>0</v>
      </c>
      <c r="X43" s="22">
        <f>X4*'Key Variables'!$C$96*'Key Variables'!$C$84*'Key Variables'!$C$57/100</f>
        <v>0</v>
      </c>
      <c r="Y43" s="22">
        <f>Y4*'Key Variables'!$C$96*'Key Variables'!$C$84*'Key Variables'!$C$57/100</f>
        <v>0</v>
      </c>
      <c r="Z43" s="22">
        <f>Z4*'Key Variables'!$C$96*'Key Variables'!$C$84*'Key Variables'!$C$57/100</f>
        <v>0</v>
      </c>
      <c r="AA43" s="22">
        <f>AA4*'Key Variables'!$C$96*'Key Variables'!$C$84*'Key Variables'!$C$57/100</f>
        <v>0</v>
      </c>
      <c r="AB43" s="22">
        <f>AB4*'Key Variables'!$C$96*'Key Variables'!$C$84*'Key Variables'!$C$57/100</f>
        <v>0</v>
      </c>
      <c r="AC43" s="22">
        <f>AC4*'Key Variables'!$C$96*'Key Variables'!$C$84*'Key Variables'!$C$57/100</f>
        <v>0</v>
      </c>
      <c r="AD43" s="22">
        <f>AD4*'Key Variables'!$C$96*'Key Variables'!$C$84*'Key Variables'!$C$57/100</f>
        <v>0</v>
      </c>
      <c r="AE43" s="22">
        <f>AE4*'Key Variables'!$C$96*'Key Variables'!$C$84*'Key Variables'!$C$57/100</f>
        <v>0</v>
      </c>
      <c r="AF43" s="22">
        <f>AF4*'Key Variables'!$C$96*'Key Variables'!$C$84*'Key Variables'!$C$57/100</f>
        <v>0</v>
      </c>
      <c r="AG43" s="22">
        <f>AG4*'Key Variables'!$C$96*'Key Variables'!$C$84*'Key Variables'!$C$57/100</f>
        <v>0</v>
      </c>
      <c r="AH43" s="22">
        <f>AH4*'Key Variables'!$C$96*'Key Variables'!$C$84*'Key Variables'!$C$57/100</f>
        <v>0</v>
      </c>
      <c r="AI43" s="22">
        <f>AI4*'Key Variables'!$C$96*'Key Variables'!$C$84*'Key Variables'!$C$57/100</f>
        <v>0</v>
      </c>
      <c r="AJ43" s="22">
        <f>AJ4*'Key Variables'!$C$96*'Key Variables'!$C$84*'Key Variables'!$C$57/100</f>
        <v>0</v>
      </c>
      <c r="AK43" s="22">
        <f>AK4*'Key Variables'!$C$96*'Key Variables'!$C$84*'Key Variables'!$C$57/100</f>
        <v>0</v>
      </c>
      <c r="AL43" s="22">
        <f>AL4*'Key Variables'!$C$96*'Key Variables'!$C$84*'Key Variables'!$C$57/100</f>
        <v>0</v>
      </c>
      <c r="AM43" s="22">
        <f>AM4*'Key Variables'!$C$96*'Key Variables'!$C$84*'Key Variables'!$C$57/100</f>
        <v>0</v>
      </c>
      <c r="AN43" s="22">
        <f>AN4*'Key Variables'!$C$96*'Key Variables'!$C$84*'Key Variables'!$C$57/100</f>
        <v>0</v>
      </c>
      <c r="AO43" s="22">
        <f>AO4*'Key Variables'!$C$96*'Key Variables'!$C$84*'Key Variables'!$C$57/100</f>
        <v>0</v>
      </c>
      <c r="AP43" s="22">
        <f>AP4*'Key Variables'!$C$96*'Key Variables'!$C$84*'Key Variables'!$C$57/100</f>
        <v>0</v>
      </c>
      <c r="AQ43" s="22">
        <f>AQ4*'Key Variables'!$C$96*'Key Variables'!$C$84*'Key Variables'!$C$57/100</f>
        <v>0</v>
      </c>
      <c r="AR43" s="22">
        <f>AR4*'Key Variables'!$C$96*'Key Variables'!$C$84*'Key Variables'!$C$57/100</f>
        <v>0</v>
      </c>
      <c r="AS43" s="22">
        <f>AS4*'Key Variables'!$C$96*'Key Variables'!$C$84*'Key Variables'!$C$57/100</f>
        <v>0</v>
      </c>
      <c r="AT43" s="22">
        <f>AT4*'Key Variables'!$C$96*'Key Variables'!$C$84*'Key Variables'!$C$57/100</f>
        <v>0</v>
      </c>
      <c r="AU43" s="22">
        <f>AU4*'Key Variables'!$C$96*'Key Variables'!$C$84*'Key Variables'!$C$57/100</f>
        <v>0</v>
      </c>
      <c r="AV43" s="22">
        <f>AV4*'Key Variables'!$C$96*'Key Variables'!$C$84*'Key Variables'!$C$57/100</f>
        <v>0</v>
      </c>
      <c r="AW43" s="22">
        <f>AW4*'Key Variables'!$C$96*'Key Variables'!$C$84*'Key Variables'!$C$57/100</f>
        <v>0</v>
      </c>
      <c r="AX43" s="4">
        <f t="shared" si="38"/>
        <v>0</v>
      </c>
      <c r="AY43" s="250" t="e">
        <f>AX43/AW20</f>
        <v>#DIV/0!</v>
      </c>
    </row>
    <row r="44" spans="1:51" hidden="1" x14ac:dyDescent="0.25">
      <c r="N44" s="6"/>
    </row>
    <row r="45" spans="1:51" hidden="1" x14ac:dyDescent="0.25">
      <c r="A45" s="1" t="s">
        <v>44</v>
      </c>
      <c r="B45" s="4">
        <f>'Key Variables'!$G$90/12</f>
        <v>0</v>
      </c>
      <c r="C45" s="4">
        <f>'Key Variables'!$G$90/12</f>
        <v>0</v>
      </c>
      <c r="D45" s="4">
        <f>'Key Variables'!$G$90/12</f>
        <v>0</v>
      </c>
      <c r="E45" s="4">
        <f>'Key Variables'!$G$90/12</f>
        <v>0</v>
      </c>
      <c r="F45" s="4">
        <f>'Key Variables'!$G$90/12</f>
        <v>0</v>
      </c>
      <c r="G45" s="4">
        <f>'Key Variables'!$G$90/12</f>
        <v>0</v>
      </c>
      <c r="H45" s="4">
        <f>'Key Variables'!$G$90/12</f>
        <v>0</v>
      </c>
      <c r="I45" s="4">
        <f>'Key Variables'!$G$90/12</f>
        <v>0</v>
      </c>
      <c r="J45" s="4">
        <f>'Key Variables'!$G$90/12</f>
        <v>0</v>
      </c>
      <c r="K45" s="4">
        <f>'Key Variables'!$G$90/12</f>
        <v>0</v>
      </c>
      <c r="L45" s="4">
        <f>'Key Variables'!$G$90/12</f>
        <v>0</v>
      </c>
      <c r="M45" s="4">
        <f>'Key Variables'!$G$90/12</f>
        <v>0</v>
      </c>
      <c r="N45" s="4">
        <f>'Key Variables'!$I$90/12</f>
        <v>0</v>
      </c>
      <c r="O45" s="4">
        <f>'Key Variables'!$I$90/12</f>
        <v>0</v>
      </c>
      <c r="P45" s="4">
        <f>'Key Variables'!$I$90/12</f>
        <v>0</v>
      </c>
      <c r="Q45" s="4">
        <f>'Key Variables'!$I$90/12</f>
        <v>0</v>
      </c>
      <c r="R45" s="4">
        <f>'Key Variables'!$I$90/12</f>
        <v>0</v>
      </c>
      <c r="S45" s="4">
        <f>'Key Variables'!$I$90/12</f>
        <v>0</v>
      </c>
      <c r="T45" s="4">
        <f>'Key Variables'!$I$90/12</f>
        <v>0</v>
      </c>
      <c r="U45" s="4">
        <f>'Key Variables'!$I$90/12</f>
        <v>0</v>
      </c>
      <c r="V45" s="4">
        <f>'Key Variables'!$I$90/12</f>
        <v>0</v>
      </c>
      <c r="W45" s="4">
        <f>'Key Variables'!$I$90/12</f>
        <v>0</v>
      </c>
      <c r="X45" s="4">
        <f>'Key Variables'!$I$90/12</f>
        <v>0</v>
      </c>
      <c r="Y45" s="4">
        <f>'Key Variables'!$I$90/12</f>
        <v>0</v>
      </c>
      <c r="Z45" s="4">
        <f>'Key Variables'!$J$90/12</f>
        <v>0</v>
      </c>
      <c r="AA45" s="4">
        <f>'Key Variables'!$J$90/12</f>
        <v>0</v>
      </c>
      <c r="AB45" s="4">
        <f>'Key Variables'!$J$90/12</f>
        <v>0</v>
      </c>
      <c r="AC45" s="4">
        <f>'Key Variables'!$J$90/12</f>
        <v>0</v>
      </c>
      <c r="AD45" s="4">
        <f>'Key Variables'!$J$90/12</f>
        <v>0</v>
      </c>
      <c r="AE45" s="4">
        <f>'Key Variables'!$J$90/12</f>
        <v>0</v>
      </c>
      <c r="AF45" s="4">
        <f>'Key Variables'!$J$90/12</f>
        <v>0</v>
      </c>
      <c r="AG45" s="4">
        <f>'Key Variables'!$J$90/12</f>
        <v>0</v>
      </c>
      <c r="AH45" s="4">
        <f>'Key Variables'!$J$90/12</f>
        <v>0</v>
      </c>
      <c r="AI45" s="4">
        <f>'Key Variables'!$J$90/12</f>
        <v>0</v>
      </c>
      <c r="AJ45" s="4">
        <f>'Key Variables'!$J$90/12</f>
        <v>0</v>
      </c>
      <c r="AK45" s="4">
        <f>'Key Variables'!$J$90/12</f>
        <v>0</v>
      </c>
      <c r="AL45" s="4">
        <f>'Key Variables'!$K$90/12</f>
        <v>0</v>
      </c>
      <c r="AM45" s="4">
        <f>'Key Variables'!$K$90/12</f>
        <v>0</v>
      </c>
      <c r="AN45" s="4">
        <f>'Key Variables'!$K$90/12</f>
        <v>0</v>
      </c>
      <c r="AO45" s="4">
        <f>'Key Variables'!$K$90/12</f>
        <v>0</v>
      </c>
      <c r="AP45" s="4">
        <f>'Key Variables'!$K$90/12</f>
        <v>0</v>
      </c>
      <c r="AQ45" s="4">
        <f>'Key Variables'!$K$90/12</f>
        <v>0</v>
      </c>
      <c r="AR45" s="4">
        <f>'Key Variables'!$K$90/12</f>
        <v>0</v>
      </c>
      <c r="AS45" s="4">
        <f>'Key Variables'!$K$90/12</f>
        <v>0</v>
      </c>
      <c r="AT45" s="4">
        <f>'Key Variables'!$K$90/12</f>
        <v>0</v>
      </c>
      <c r="AU45" s="4">
        <f>'Key Variables'!$K$90/12</f>
        <v>0</v>
      </c>
      <c r="AV45" s="4">
        <f>'Key Variables'!$K$90/12</f>
        <v>0</v>
      </c>
      <c r="AW45" s="4">
        <f>'Key Variables'!$K$90/12</f>
        <v>0</v>
      </c>
    </row>
    <row r="46" spans="1:51" hidden="1" x14ac:dyDescent="0.25">
      <c r="A46" s="1" t="s">
        <v>43</v>
      </c>
      <c r="B46" s="4">
        <f>'Key Variables'!$G$12/12</f>
        <v>12188.75</v>
      </c>
      <c r="C46" s="4">
        <f>'Key Variables'!$G$12/12</f>
        <v>12188.75</v>
      </c>
      <c r="D46" s="4">
        <f>'Key Variables'!$G$12/12</f>
        <v>12188.75</v>
      </c>
      <c r="E46" s="4">
        <f>'Key Variables'!$G$12/12</f>
        <v>12188.75</v>
      </c>
      <c r="F46" s="4">
        <f>'Key Variables'!$G$12/12</f>
        <v>12188.75</v>
      </c>
      <c r="G46" s="4">
        <f>'Key Variables'!$G$12/12</f>
        <v>12188.75</v>
      </c>
      <c r="H46" s="4">
        <f>'Key Variables'!$G$12/12</f>
        <v>12188.75</v>
      </c>
      <c r="I46" s="4">
        <f>'Key Variables'!$G$12/12</f>
        <v>12188.75</v>
      </c>
      <c r="J46" s="4">
        <f>'Key Variables'!$G$12/12</f>
        <v>12188.75</v>
      </c>
      <c r="K46" s="4">
        <f>'Key Variables'!$G$12/12</f>
        <v>12188.75</v>
      </c>
      <c r="L46" s="4">
        <f>'Key Variables'!$G$12/12</f>
        <v>12188.75</v>
      </c>
      <c r="M46" s="4">
        <f>'Key Variables'!$G$12/12</f>
        <v>12188.75</v>
      </c>
      <c r="N46" s="4">
        <f>'Key Variables'!$H$12/12</f>
        <v>21246.050347222226</v>
      </c>
      <c r="O46" s="4">
        <f>'Key Variables'!$H$12/12</f>
        <v>21246.050347222226</v>
      </c>
      <c r="P46" s="4">
        <f>'Key Variables'!$H$12/12</f>
        <v>21246.050347222226</v>
      </c>
      <c r="Q46" s="4">
        <f>'Key Variables'!$H$12/12</f>
        <v>21246.050347222226</v>
      </c>
      <c r="R46" s="4">
        <f>'Key Variables'!$H$12/12</f>
        <v>21246.050347222226</v>
      </c>
      <c r="S46" s="4">
        <f>'Key Variables'!$H$12/12</f>
        <v>21246.050347222226</v>
      </c>
      <c r="T46" s="4">
        <f>'Key Variables'!$H$12/12</f>
        <v>21246.050347222226</v>
      </c>
      <c r="U46" s="4">
        <f>'Key Variables'!$H$12/12</f>
        <v>21246.050347222226</v>
      </c>
      <c r="V46" s="4">
        <f>'Key Variables'!$H$12/12</f>
        <v>21246.050347222226</v>
      </c>
      <c r="W46" s="4">
        <f>'Key Variables'!$H$12/12</f>
        <v>21246.050347222226</v>
      </c>
      <c r="X46" s="4">
        <f>'Key Variables'!$H$12/12</f>
        <v>21246.050347222226</v>
      </c>
      <c r="Y46" s="4">
        <f>'Key Variables'!$H$12/12</f>
        <v>21246.050347222226</v>
      </c>
      <c r="Z46" s="4">
        <f>'Key Variables'!$J$12/12</f>
        <v>27987.083333333347</v>
      </c>
      <c r="AA46" s="4">
        <f>'Key Variables'!$J$12/12</f>
        <v>27987.083333333347</v>
      </c>
      <c r="AB46" s="4">
        <f>'Key Variables'!$J$12/12</f>
        <v>27987.083333333347</v>
      </c>
      <c r="AC46" s="4">
        <f>'Key Variables'!$J$12/12</f>
        <v>27987.083333333347</v>
      </c>
      <c r="AD46" s="4">
        <f>'Key Variables'!$J$12/12</f>
        <v>27987.083333333347</v>
      </c>
      <c r="AE46" s="4">
        <f>'Key Variables'!$J$12/12</f>
        <v>27987.083333333347</v>
      </c>
      <c r="AF46" s="4">
        <f>'Key Variables'!$J$12/12</f>
        <v>27987.083333333347</v>
      </c>
      <c r="AG46" s="4">
        <f>'Key Variables'!$J$12/12</f>
        <v>27987.083333333347</v>
      </c>
      <c r="AH46" s="4">
        <f>'Key Variables'!$J$12/12</f>
        <v>27987.083333333347</v>
      </c>
      <c r="AI46" s="4">
        <f>'Key Variables'!$J$12/12</f>
        <v>27987.083333333347</v>
      </c>
      <c r="AJ46" s="4">
        <f>'Key Variables'!$J$12/12</f>
        <v>27987.083333333347</v>
      </c>
      <c r="AK46" s="4">
        <f>'Key Variables'!$J$12/12</f>
        <v>27987.083333333347</v>
      </c>
      <c r="AL46" s="4">
        <f>'Key Variables'!$K$12/12</f>
        <v>30789.869791666672</v>
      </c>
      <c r="AM46" s="4">
        <f>'Key Variables'!$K$12/12</f>
        <v>30789.869791666672</v>
      </c>
      <c r="AN46" s="4">
        <f>'Key Variables'!$K$12/12</f>
        <v>30789.869791666672</v>
      </c>
      <c r="AO46" s="4">
        <f>'Key Variables'!$K$12/12</f>
        <v>30789.869791666672</v>
      </c>
      <c r="AP46" s="4">
        <f>'Key Variables'!$K$12/12</f>
        <v>30789.869791666672</v>
      </c>
      <c r="AQ46" s="4">
        <f>'Key Variables'!$K$12/12</f>
        <v>30789.869791666672</v>
      </c>
      <c r="AR46" s="4">
        <f>'Key Variables'!$K$12/12</f>
        <v>30789.869791666672</v>
      </c>
      <c r="AS46" s="4">
        <f>'Key Variables'!$K$12/12</f>
        <v>30789.869791666672</v>
      </c>
      <c r="AT46" s="4">
        <f>'Key Variables'!$K$12/12</f>
        <v>30789.869791666672</v>
      </c>
      <c r="AU46" s="4">
        <f>'Key Variables'!$K$12/12</f>
        <v>30789.869791666672</v>
      </c>
      <c r="AV46" s="4">
        <f>'Key Variables'!$K$12/12</f>
        <v>30789.869791666672</v>
      </c>
      <c r="AW46" s="4">
        <f>'Key Variables'!$K$12/12</f>
        <v>30789.869791666672</v>
      </c>
    </row>
    <row r="47" spans="1:51" hidden="1" x14ac:dyDescent="0.25">
      <c r="A47" s="1" t="s">
        <v>56</v>
      </c>
      <c r="B47" s="4">
        <f>'"Fine Tune" Variables'!$G$4/12</f>
        <v>0</v>
      </c>
      <c r="C47" s="4">
        <f>'"Fine Tune" Variables'!$G$4/12</f>
        <v>0</v>
      </c>
      <c r="D47" s="4">
        <f>'"Fine Tune" Variables'!$G$4/12</f>
        <v>0</v>
      </c>
      <c r="E47" s="4">
        <f>'"Fine Tune" Variables'!$G$4/12</f>
        <v>0</v>
      </c>
      <c r="F47" s="4">
        <f>'"Fine Tune" Variables'!$G$4/12</f>
        <v>0</v>
      </c>
      <c r="G47" s="4">
        <f>'"Fine Tune" Variables'!$G$4/12</f>
        <v>0</v>
      </c>
      <c r="H47" s="4">
        <f>'"Fine Tune" Variables'!$G$4/12</f>
        <v>0</v>
      </c>
      <c r="I47" s="4">
        <f>'"Fine Tune" Variables'!$G$4/12</f>
        <v>0</v>
      </c>
      <c r="J47" s="4">
        <f>'"Fine Tune" Variables'!$G$4/12</f>
        <v>0</v>
      </c>
      <c r="K47" s="4">
        <f>'"Fine Tune" Variables'!$G$4/12</f>
        <v>0</v>
      </c>
      <c r="L47" s="4">
        <f>'"Fine Tune" Variables'!$G$4/12</f>
        <v>0</v>
      </c>
      <c r="M47" s="4">
        <f>'"Fine Tune" Variables'!$G$4/12</f>
        <v>0</v>
      </c>
      <c r="N47" s="4">
        <f>'"Fine Tune" Variables'!$H$4/12</f>
        <v>0</v>
      </c>
      <c r="O47" s="4">
        <f>'"Fine Tune" Variables'!$H$4/12</f>
        <v>0</v>
      </c>
      <c r="P47" s="4">
        <f>'"Fine Tune" Variables'!$H$4/12</f>
        <v>0</v>
      </c>
      <c r="Q47" s="4">
        <f>'"Fine Tune" Variables'!$H$4/12</f>
        <v>0</v>
      </c>
      <c r="R47" s="4">
        <f>'"Fine Tune" Variables'!$H$4/12</f>
        <v>0</v>
      </c>
      <c r="S47" s="4">
        <f>'"Fine Tune" Variables'!$H$4/12</f>
        <v>0</v>
      </c>
      <c r="T47" s="4">
        <f>'"Fine Tune" Variables'!$H$4/12</f>
        <v>0</v>
      </c>
      <c r="U47" s="4">
        <f>'"Fine Tune" Variables'!$H$4/12</f>
        <v>0</v>
      </c>
      <c r="V47" s="4">
        <f>'"Fine Tune" Variables'!$H$4/12</f>
        <v>0</v>
      </c>
      <c r="W47" s="4">
        <f>'"Fine Tune" Variables'!$H$4/12</f>
        <v>0</v>
      </c>
      <c r="X47" s="4">
        <f>'"Fine Tune" Variables'!$H$4/12</f>
        <v>0</v>
      </c>
      <c r="Y47" s="4">
        <f>'"Fine Tune" Variables'!$H$4/12</f>
        <v>0</v>
      </c>
      <c r="Z47" s="4">
        <f>'"Fine Tune" Variables'!$I$4/12</f>
        <v>0</v>
      </c>
      <c r="AA47" s="4">
        <f>'"Fine Tune" Variables'!$I$4/12</f>
        <v>0</v>
      </c>
      <c r="AB47" s="4">
        <f>'"Fine Tune" Variables'!$I$4/12</f>
        <v>0</v>
      </c>
      <c r="AC47" s="4">
        <f>'"Fine Tune" Variables'!$I$4/12</f>
        <v>0</v>
      </c>
      <c r="AD47" s="4">
        <f>'"Fine Tune" Variables'!$I$4/12</f>
        <v>0</v>
      </c>
      <c r="AE47" s="4">
        <f>'"Fine Tune" Variables'!$I$4/12</f>
        <v>0</v>
      </c>
      <c r="AF47" s="4">
        <f>'"Fine Tune" Variables'!$I$4/12</f>
        <v>0</v>
      </c>
      <c r="AG47" s="4">
        <f>'"Fine Tune" Variables'!$I$4/12</f>
        <v>0</v>
      </c>
      <c r="AH47" s="4">
        <f>'"Fine Tune" Variables'!$I$4/12</f>
        <v>0</v>
      </c>
      <c r="AI47" s="4">
        <f>'"Fine Tune" Variables'!$I$4/12</f>
        <v>0</v>
      </c>
      <c r="AJ47" s="4">
        <f>'"Fine Tune" Variables'!$I$4/12</f>
        <v>0</v>
      </c>
      <c r="AK47" s="4">
        <f>'"Fine Tune" Variables'!$I$4/12</f>
        <v>0</v>
      </c>
      <c r="AL47" s="4">
        <f>'"Fine Tune" Variables'!$J$4/12</f>
        <v>0</v>
      </c>
      <c r="AM47" s="4">
        <f>'"Fine Tune" Variables'!$J$4/12</f>
        <v>0</v>
      </c>
      <c r="AN47" s="4">
        <f>'"Fine Tune" Variables'!$J$4/12</f>
        <v>0</v>
      </c>
      <c r="AO47" s="4">
        <f>'"Fine Tune" Variables'!$J$4/12</f>
        <v>0</v>
      </c>
      <c r="AP47" s="4">
        <f>'"Fine Tune" Variables'!$J$4/12</f>
        <v>0</v>
      </c>
      <c r="AQ47" s="4">
        <f>'"Fine Tune" Variables'!$J$4/12</f>
        <v>0</v>
      </c>
      <c r="AR47" s="4">
        <f>'"Fine Tune" Variables'!$J$4/12</f>
        <v>0</v>
      </c>
      <c r="AS47" s="4">
        <f>'"Fine Tune" Variables'!$J$4/12</f>
        <v>0</v>
      </c>
      <c r="AT47" s="4">
        <f>'"Fine Tune" Variables'!$J$4/12</f>
        <v>0</v>
      </c>
      <c r="AU47" s="4">
        <f>'"Fine Tune" Variables'!$J$4/12</f>
        <v>0</v>
      </c>
      <c r="AV47" s="4">
        <f>'"Fine Tune" Variables'!$J$4/12</f>
        <v>0</v>
      </c>
      <c r="AW47" s="4">
        <f>'"Fine Tune" Variables'!$J$4/12</f>
        <v>0</v>
      </c>
    </row>
    <row r="48" spans="1:51" hidden="1" x14ac:dyDescent="0.25">
      <c r="A48" s="1" t="s">
        <v>21</v>
      </c>
      <c r="B48" s="4"/>
      <c r="C48" s="4"/>
      <c r="D48" s="4"/>
      <c r="E48" s="4"/>
      <c r="F48" s="4"/>
      <c r="G48" s="4"/>
      <c r="H48" s="4"/>
      <c r="I48" s="4"/>
      <c r="J48" s="4"/>
      <c r="K48" s="4"/>
      <c r="L48" s="4"/>
      <c r="M48" s="4"/>
      <c r="N48" s="4">
        <f>((B17)*'"Fine Tune" Variables'!$C$7/12)</f>
        <v>0</v>
      </c>
      <c r="O48" s="4">
        <f>((C17)*'"Fine Tune" Variables'!$C$7/12)</f>
        <v>0</v>
      </c>
      <c r="P48" s="4">
        <f>((D17)*'"Fine Tune" Variables'!$C$7/12)</f>
        <v>0</v>
      </c>
      <c r="Q48" s="4">
        <f>((E17)*'"Fine Tune" Variables'!$C$7/12)</f>
        <v>0</v>
      </c>
      <c r="R48" s="4">
        <f>((F17)*'"Fine Tune" Variables'!$C$7/12)</f>
        <v>0</v>
      </c>
      <c r="S48" s="4">
        <f>((G17)*'"Fine Tune" Variables'!$C$7/12)</f>
        <v>0</v>
      </c>
      <c r="T48" s="4">
        <f>((H17)*'"Fine Tune" Variables'!$C$7/12)</f>
        <v>0</v>
      </c>
      <c r="U48" s="4">
        <f>((I17)*'"Fine Tune" Variables'!$C$7/12)</f>
        <v>0</v>
      </c>
      <c r="V48" s="4">
        <f>((J17)*'"Fine Tune" Variables'!$C$7/12)</f>
        <v>0</v>
      </c>
      <c r="W48" s="4">
        <f>((K17)*'"Fine Tune" Variables'!$C$7/12)</f>
        <v>0</v>
      </c>
      <c r="X48" s="4">
        <f>((L17)*'"Fine Tune" Variables'!$C$7/12)</f>
        <v>0</v>
      </c>
      <c r="Y48" s="4">
        <f>((M17)*'"Fine Tune" Variables'!$C$7/12)</f>
        <v>0</v>
      </c>
      <c r="Z48" s="4">
        <f>((N17)*'"Fine Tune" Variables'!$C$7/12)</f>
        <v>0</v>
      </c>
      <c r="AA48" s="4">
        <f>((O17)*'"Fine Tune" Variables'!$C$7/12)</f>
        <v>0</v>
      </c>
      <c r="AB48" s="4">
        <f>((P17)*'"Fine Tune" Variables'!$C$7/12)</f>
        <v>0</v>
      </c>
      <c r="AC48" s="4">
        <f>((Q17)*'"Fine Tune" Variables'!$C$7/12)</f>
        <v>0</v>
      </c>
      <c r="AD48" s="4">
        <f>((R17)*'"Fine Tune" Variables'!$C$7/12)</f>
        <v>0</v>
      </c>
      <c r="AE48" s="4">
        <f>((S17)*'"Fine Tune" Variables'!$C$7/12)</f>
        <v>0</v>
      </c>
      <c r="AF48" s="4">
        <f>((T17)*'"Fine Tune" Variables'!$C$7/12)</f>
        <v>0</v>
      </c>
      <c r="AG48" s="4">
        <f>((U17)*'"Fine Tune" Variables'!$C$7/12)</f>
        <v>0</v>
      </c>
      <c r="AH48" s="4">
        <f>((V17)*'"Fine Tune" Variables'!$C$7/12)</f>
        <v>0</v>
      </c>
      <c r="AI48" s="4">
        <f>((W17)*'"Fine Tune" Variables'!$C$7/12)</f>
        <v>0</v>
      </c>
      <c r="AJ48" s="4">
        <f>((X17)*'"Fine Tune" Variables'!$C$7/12)</f>
        <v>0</v>
      </c>
      <c r="AK48" s="4">
        <f>((Y17)*'"Fine Tune" Variables'!$C$7/12)</f>
        <v>0</v>
      </c>
      <c r="AL48" s="4">
        <f>((Z17)*'"Fine Tune" Variables'!$C$7/12)</f>
        <v>0</v>
      </c>
      <c r="AM48" s="4">
        <f>((AA17)*'"Fine Tune" Variables'!$C$7/12)</f>
        <v>0</v>
      </c>
      <c r="AN48" s="4">
        <f>((AB17)*'"Fine Tune" Variables'!$C$7/12)</f>
        <v>0</v>
      </c>
      <c r="AO48" s="4">
        <f>((AC17)*'"Fine Tune" Variables'!$C$7/12)</f>
        <v>0</v>
      </c>
      <c r="AP48" s="4">
        <f>((AD17)*'"Fine Tune" Variables'!$C$7/12)</f>
        <v>0</v>
      </c>
      <c r="AQ48" s="4">
        <f>((AE17)*'"Fine Tune" Variables'!$C$7/12)</f>
        <v>0</v>
      </c>
      <c r="AR48" s="4">
        <f>((AF17)*'"Fine Tune" Variables'!$C$7/12)</f>
        <v>0</v>
      </c>
      <c r="AS48" s="4">
        <f>((AG17)*'"Fine Tune" Variables'!$C$7/12)</f>
        <v>0</v>
      </c>
      <c r="AT48" s="4">
        <f>((AH17)*'"Fine Tune" Variables'!$C$7/12)</f>
        <v>0</v>
      </c>
      <c r="AU48" s="4">
        <f>((AI17)*'"Fine Tune" Variables'!$C$7/12)</f>
        <v>0</v>
      </c>
      <c r="AV48" s="4">
        <f>((AJ17)*'"Fine Tune" Variables'!$C$7/12)</f>
        <v>0</v>
      </c>
      <c r="AW48" s="4">
        <f>((AK17)*'"Fine Tune" Variables'!$C$7/12)</f>
        <v>0</v>
      </c>
    </row>
    <row r="49" spans="1:49" hidden="1" x14ac:dyDescent="0.25">
      <c r="A49" s="1" t="s">
        <v>22</v>
      </c>
      <c r="B49" s="4"/>
      <c r="C49" s="4"/>
      <c r="D49" s="4"/>
      <c r="E49" s="4"/>
      <c r="F49" s="4"/>
      <c r="G49" s="4"/>
      <c r="H49" s="4"/>
      <c r="I49" s="4"/>
      <c r="J49" s="4"/>
      <c r="K49" s="4"/>
      <c r="L49" s="4"/>
      <c r="M49" s="4"/>
      <c r="N49" s="4">
        <f>((B17)*'"Fine Tune" Variables'!$C$13/12)</f>
        <v>0</v>
      </c>
      <c r="O49" s="4">
        <f>((C17)*'"Fine Tune" Variables'!$C$13/12)</f>
        <v>0</v>
      </c>
      <c r="P49" s="4">
        <f>((D17)*'"Fine Tune" Variables'!$C$13/12)</f>
        <v>0</v>
      </c>
      <c r="Q49" s="4">
        <f>((E17)*'"Fine Tune" Variables'!$C$13/12)</f>
        <v>0</v>
      </c>
      <c r="R49" s="4">
        <f>((F17)*'"Fine Tune" Variables'!$C$13/12)</f>
        <v>0</v>
      </c>
      <c r="S49" s="4">
        <f>((G17)*'"Fine Tune" Variables'!$C$13/12)</f>
        <v>0</v>
      </c>
      <c r="T49" s="4">
        <f>((H17)*'"Fine Tune" Variables'!$C$13/12)</f>
        <v>0</v>
      </c>
      <c r="U49" s="4">
        <f>((I17)*'"Fine Tune" Variables'!$C$13/12)</f>
        <v>0</v>
      </c>
      <c r="V49" s="4">
        <f>((J17)*'"Fine Tune" Variables'!$C$13/12)</f>
        <v>0</v>
      </c>
      <c r="W49" s="4">
        <f>((K17)*'"Fine Tune" Variables'!$C$13/12)</f>
        <v>0</v>
      </c>
      <c r="X49" s="4">
        <f>((L17)*'"Fine Tune" Variables'!$C$13/12)</f>
        <v>0</v>
      </c>
      <c r="Y49" s="4">
        <f>((M17)*'"Fine Tune" Variables'!$C$13/12)</f>
        <v>0</v>
      </c>
      <c r="Z49" s="4">
        <f>((N17)*'"Fine Tune" Variables'!$C$13/12)</f>
        <v>0</v>
      </c>
      <c r="AA49" s="4">
        <f>((O17)*'"Fine Tune" Variables'!$C$13/12)</f>
        <v>0</v>
      </c>
      <c r="AB49" s="4">
        <f>((P17)*'"Fine Tune" Variables'!$C$13/12)</f>
        <v>0</v>
      </c>
      <c r="AC49" s="4">
        <f>((Q17)*'"Fine Tune" Variables'!$C$13/12)</f>
        <v>0</v>
      </c>
      <c r="AD49" s="4">
        <f>((R17)*'"Fine Tune" Variables'!$C$13/12)</f>
        <v>0</v>
      </c>
      <c r="AE49" s="4">
        <f>((S17)*'"Fine Tune" Variables'!$C$13/12)</f>
        <v>0</v>
      </c>
      <c r="AF49" s="4">
        <f>((T17)*'"Fine Tune" Variables'!$C$13/12)</f>
        <v>0</v>
      </c>
      <c r="AG49" s="4">
        <f>((U17)*'"Fine Tune" Variables'!$C$13/12)</f>
        <v>0</v>
      </c>
      <c r="AH49" s="4">
        <f>((V17)*'"Fine Tune" Variables'!$C$13/12)</f>
        <v>0</v>
      </c>
      <c r="AI49" s="4">
        <f>((W17)*'"Fine Tune" Variables'!$C$13/12)</f>
        <v>0</v>
      </c>
      <c r="AJ49" s="4">
        <f>((X17)*'"Fine Tune" Variables'!$C$13/12)</f>
        <v>0</v>
      </c>
      <c r="AK49" s="4">
        <f>((Y17)*'"Fine Tune" Variables'!$C$13/12)</f>
        <v>0</v>
      </c>
      <c r="AL49" s="4">
        <f>((Z17)*'"Fine Tune" Variables'!$C$13/12)</f>
        <v>0</v>
      </c>
      <c r="AM49" s="4">
        <f>((AA17)*'"Fine Tune" Variables'!$C$13/12)</f>
        <v>0</v>
      </c>
      <c r="AN49" s="4">
        <f>((AB17)*'"Fine Tune" Variables'!$C$13/12)</f>
        <v>0</v>
      </c>
      <c r="AO49" s="4">
        <f>((AC17)*'"Fine Tune" Variables'!$C$13/12)</f>
        <v>0</v>
      </c>
      <c r="AP49" s="4">
        <f>((AD17)*'"Fine Tune" Variables'!$C$13/12)</f>
        <v>0</v>
      </c>
      <c r="AQ49" s="4">
        <f>((AE17)*'"Fine Tune" Variables'!$C$13/12)</f>
        <v>0</v>
      </c>
      <c r="AR49" s="4">
        <f>((AF17)*'"Fine Tune" Variables'!$C$13/12)</f>
        <v>0</v>
      </c>
      <c r="AS49" s="4">
        <f>((AG17)*'"Fine Tune" Variables'!$C$13/12)</f>
        <v>0</v>
      </c>
      <c r="AT49" s="4">
        <f>((AH17)*'"Fine Tune" Variables'!$C$13/12)</f>
        <v>0</v>
      </c>
      <c r="AU49" s="4">
        <f>((AI17)*'"Fine Tune" Variables'!$C$13/12)</f>
        <v>0</v>
      </c>
      <c r="AV49" s="4">
        <f>((AJ17)*'"Fine Tune" Variables'!$C$13/12)</f>
        <v>0</v>
      </c>
      <c r="AW49" s="4">
        <f>((AK17)*'"Fine Tune" Variables'!$C$13/12)</f>
        <v>0</v>
      </c>
    </row>
    <row r="50" spans="1:49" hidden="1" x14ac:dyDescent="0.25">
      <c r="A50" s="1" t="s">
        <v>23</v>
      </c>
      <c r="B50" s="4">
        <f>'Key Variables'!$G$15/12</f>
        <v>4166.666666666667</v>
      </c>
      <c r="C50" s="4">
        <f>'Key Variables'!$G$15/12</f>
        <v>4166.666666666667</v>
      </c>
      <c r="D50" s="4">
        <f>'Key Variables'!$G$15/12</f>
        <v>4166.666666666667</v>
      </c>
      <c r="E50" s="4">
        <f>'Key Variables'!$G$15/12</f>
        <v>4166.666666666667</v>
      </c>
      <c r="F50" s="4">
        <f>'Key Variables'!$G$15/12</f>
        <v>4166.666666666667</v>
      </c>
      <c r="G50" s="4">
        <f>'Key Variables'!$G$15/12</f>
        <v>4166.666666666667</v>
      </c>
      <c r="H50" s="4">
        <f>'Key Variables'!$G$15/12</f>
        <v>4166.666666666667</v>
      </c>
      <c r="I50" s="4">
        <f>'Key Variables'!$G$15/12</f>
        <v>4166.666666666667</v>
      </c>
      <c r="J50" s="4">
        <f>'Key Variables'!$G$15/12</f>
        <v>4166.666666666667</v>
      </c>
      <c r="K50" s="4">
        <f>'Key Variables'!$G$15/12</f>
        <v>4166.666666666667</v>
      </c>
      <c r="L50" s="4">
        <f>'Key Variables'!$G$15/12</f>
        <v>4166.666666666667</v>
      </c>
      <c r="M50" s="4">
        <f>'Key Variables'!$G$15/12</f>
        <v>4166.666666666667</v>
      </c>
      <c r="N50" s="4">
        <f>'Key Variables'!$H$15/12</f>
        <v>4166.666666666667</v>
      </c>
      <c r="O50" s="4">
        <f>'Key Variables'!$H$15/12</f>
        <v>4166.666666666667</v>
      </c>
      <c r="P50" s="4">
        <f>'Key Variables'!$H$15/12</f>
        <v>4166.666666666667</v>
      </c>
      <c r="Q50" s="4">
        <f>'Key Variables'!$H$15/12</f>
        <v>4166.666666666667</v>
      </c>
      <c r="R50" s="4">
        <f>'Key Variables'!$H$15/12</f>
        <v>4166.666666666667</v>
      </c>
      <c r="S50" s="4">
        <f>'Key Variables'!$H$15/12</f>
        <v>4166.666666666667</v>
      </c>
      <c r="T50" s="4">
        <f>'Key Variables'!$H$15/12</f>
        <v>4166.666666666667</v>
      </c>
      <c r="U50" s="4">
        <f>'Key Variables'!$H$15/12</f>
        <v>4166.666666666667</v>
      </c>
      <c r="V50" s="4">
        <f>'Key Variables'!$H$15/12</f>
        <v>4166.666666666667</v>
      </c>
      <c r="W50" s="4">
        <f>'Key Variables'!$H$15/12</f>
        <v>4166.666666666667</v>
      </c>
      <c r="X50" s="4">
        <f>'Key Variables'!$H$15/12</f>
        <v>4166.666666666667</v>
      </c>
      <c r="Y50" s="4">
        <f>'Key Variables'!$H$15/12</f>
        <v>4166.666666666667</v>
      </c>
      <c r="Z50" s="4">
        <f>'Key Variables'!$J$15/12</f>
        <v>4166.666666666667</v>
      </c>
      <c r="AA50" s="4">
        <f>'Key Variables'!$J$15/12</f>
        <v>4166.666666666667</v>
      </c>
      <c r="AB50" s="4">
        <f>'Key Variables'!$J$15/12</f>
        <v>4166.666666666667</v>
      </c>
      <c r="AC50" s="4">
        <f>'Key Variables'!$J$15/12</f>
        <v>4166.666666666667</v>
      </c>
      <c r="AD50" s="4">
        <f>'Key Variables'!$J$15/12</f>
        <v>4166.666666666667</v>
      </c>
      <c r="AE50" s="4">
        <f>'Key Variables'!$J$15/12</f>
        <v>4166.666666666667</v>
      </c>
      <c r="AF50" s="4">
        <f>'Key Variables'!$J$15/12</f>
        <v>4166.666666666667</v>
      </c>
      <c r="AG50" s="4">
        <f>'Key Variables'!$J$15/12</f>
        <v>4166.666666666667</v>
      </c>
      <c r="AH50" s="4">
        <f>'Key Variables'!$J$15/12</f>
        <v>4166.666666666667</v>
      </c>
      <c r="AI50" s="4">
        <f>'Key Variables'!$J$15/12</f>
        <v>4166.666666666667</v>
      </c>
      <c r="AJ50" s="4">
        <f>'Key Variables'!$J$15/12</f>
        <v>4166.666666666667</v>
      </c>
      <c r="AK50" s="4">
        <f>'Key Variables'!$J$15/12</f>
        <v>4166.666666666667</v>
      </c>
      <c r="AL50" s="4">
        <f>'Key Variables'!$K$15/12</f>
        <v>4166.666666666667</v>
      </c>
      <c r="AM50" s="4">
        <f>'Key Variables'!$K$15/12</f>
        <v>4166.666666666667</v>
      </c>
      <c r="AN50" s="4">
        <f>'Key Variables'!$K$15/12</f>
        <v>4166.666666666667</v>
      </c>
      <c r="AO50" s="4">
        <f>'Key Variables'!$K$15/12</f>
        <v>4166.666666666667</v>
      </c>
      <c r="AP50" s="4">
        <f>'Key Variables'!$K$15/12</f>
        <v>4166.666666666667</v>
      </c>
      <c r="AQ50" s="4">
        <f>'Key Variables'!$K$15/12</f>
        <v>4166.666666666667</v>
      </c>
      <c r="AR50" s="4">
        <f>'Key Variables'!$K$15/12</f>
        <v>4166.666666666667</v>
      </c>
      <c r="AS50" s="4">
        <f>'Key Variables'!$K$15/12</f>
        <v>4166.666666666667</v>
      </c>
      <c r="AT50" s="4">
        <f>'Key Variables'!$K$15/12</f>
        <v>4166.666666666667</v>
      </c>
      <c r="AU50" s="4">
        <f>'Key Variables'!$K$15/12</f>
        <v>4166.666666666667</v>
      </c>
      <c r="AV50" s="4">
        <f>'Key Variables'!$K$15/12</f>
        <v>4166.666666666667</v>
      </c>
      <c r="AW50" s="4">
        <f>'Key Variables'!$K$15/12</f>
        <v>4166.666666666667</v>
      </c>
    </row>
    <row r="51" spans="1:49" hidden="1"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hidden="1"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hidden="1" x14ac:dyDescent="0.25">
      <c r="A53" s="1" t="s">
        <v>49</v>
      </c>
      <c r="B53" s="4">
        <f t="shared" ref="B53:AW53" si="40">SUM(B26:B32)+SUM(B42:B42)-SUM(B43:B43)-SUM(B45:B50)-SUM(B34:B40)</f>
        <v>-6956.8229166666679</v>
      </c>
      <c r="C53" s="4">
        <f t="shared" si="40"/>
        <v>-6308.2291666666679</v>
      </c>
      <c r="D53" s="4">
        <f t="shared" si="40"/>
        <v>-5659.6354166666679</v>
      </c>
      <c r="E53" s="4">
        <f t="shared" si="40"/>
        <v>-5011.0416666666679</v>
      </c>
      <c r="F53" s="4">
        <f t="shared" si="40"/>
        <v>-4362.4479166666679</v>
      </c>
      <c r="G53" s="4">
        <f t="shared" si="40"/>
        <v>-3713.8541666666679</v>
      </c>
      <c r="H53" s="4">
        <f t="shared" si="40"/>
        <v>-2974.1145833333285</v>
      </c>
      <c r="I53" s="4">
        <f t="shared" si="40"/>
        <v>-2234.3750000000073</v>
      </c>
      <c r="J53" s="4">
        <f t="shared" si="40"/>
        <v>-1494.6354166666679</v>
      </c>
      <c r="K53" s="4">
        <f t="shared" si="40"/>
        <v>-754.89583333332848</v>
      </c>
      <c r="L53" s="4">
        <f t="shared" si="40"/>
        <v>-15.15625</v>
      </c>
      <c r="M53" s="4">
        <f t="shared" si="40"/>
        <v>724.58333333332848</v>
      </c>
      <c r="N53" s="4">
        <f t="shared" si="40"/>
        <v>-4460.1128472222263</v>
      </c>
      <c r="O53" s="4">
        <f t="shared" si="40"/>
        <v>-3504.175347222219</v>
      </c>
      <c r="P53" s="4">
        <f t="shared" si="40"/>
        <v>-2548.237847222219</v>
      </c>
      <c r="Q53" s="4">
        <f t="shared" si="40"/>
        <v>-1592.3003472222335</v>
      </c>
      <c r="R53" s="4">
        <f t="shared" si="40"/>
        <v>-636.36284722221899</v>
      </c>
      <c r="S53" s="4">
        <f t="shared" si="40"/>
        <v>319.57465277778101</v>
      </c>
      <c r="T53" s="4">
        <f t="shared" si="40"/>
        <v>1305.8940972222117</v>
      </c>
      <c r="U53" s="4">
        <f t="shared" si="40"/>
        <v>2292.2135416666861</v>
      </c>
      <c r="V53" s="4">
        <f t="shared" si="40"/>
        <v>3278.5329861111168</v>
      </c>
      <c r="W53" s="4">
        <f t="shared" si="40"/>
        <v>4264.8524305555475</v>
      </c>
      <c r="X53" s="4">
        <f t="shared" si="40"/>
        <v>5251.171875</v>
      </c>
      <c r="Y53" s="4">
        <f t="shared" si="40"/>
        <v>6237.4913194444525</v>
      </c>
      <c r="Z53" s="4">
        <f t="shared" si="40"/>
        <v>3615.6423611111095</v>
      </c>
      <c r="AA53" s="4">
        <f t="shared" si="40"/>
        <v>4818.159722222219</v>
      </c>
      <c r="AB53" s="4">
        <f t="shared" si="40"/>
        <v>6020.6770833333285</v>
      </c>
      <c r="AC53" s="4">
        <f t="shared" si="40"/>
        <v>7223.1944444444234</v>
      </c>
      <c r="AD53" s="4">
        <f t="shared" si="40"/>
        <v>8425.7118055555475</v>
      </c>
      <c r="AE53" s="4">
        <f t="shared" si="40"/>
        <v>9628.2291666666424</v>
      </c>
      <c r="AF53" s="4">
        <f t="shared" si="40"/>
        <v>10861.128472222234</v>
      </c>
      <c r="AG53" s="4">
        <f t="shared" si="40"/>
        <v>12094.027777777766</v>
      </c>
      <c r="AH53" s="4">
        <f t="shared" si="40"/>
        <v>13326.927083333328</v>
      </c>
      <c r="AI53" s="4">
        <f t="shared" si="40"/>
        <v>14559.826388888891</v>
      </c>
      <c r="AJ53" s="4">
        <f t="shared" si="40"/>
        <v>15792.725694444438</v>
      </c>
      <c r="AK53" s="4">
        <f t="shared" si="40"/>
        <v>17025.625</v>
      </c>
      <c r="AL53" s="4">
        <f t="shared" si="40"/>
        <v>18588.602430555562</v>
      </c>
      <c r="AM53" s="4">
        <f t="shared" si="40"/>
        <v>20037.699652777766</v>
      </c>
      <c r="AN53" s="4">
        <f t="shared" si="40"/>
        <v>21486.796875</v>
      </c>
      <c r="AO53" s="4">
        <f t="shared" si="40"/>
        <v>22935.894097222219</v>
      </c>
      <c r="AP53" s="4">
        <f t="shared" si="40"/>
        <v>24384.991319444438</v>
      </c>
      <c r="AQ53" s="4">
        <f t="shared" si="40"/>
        <v>25834.088541666657</v>
      </c>
      <c r="AR53" s="4">
        <f t="shared" si="40"/>
        <v>27313.567708333314</v>
      </c>
      <c r="AS53" s="4">
        <f t="shared" si="40"/>
        <v>28793.046875</v>
      </c>
      <c r="AT53" s="4">
        <f t="shared" si="40"/>
        <v>30272.526041666686</v>
      </c>
      <c r="AU53" s="4">
        <f t="shared" si="40"/>
        <v>31752.005208333343</v>
      </c>
      <c r="AV53" s="4">
        <f t="shared" si="40"/>
        <v>33231.484374999971</v>
      </c>
      <c r="AW53" s="4">
        <f t="shared" si="40"/>
        <v>34710.963541666686</v>
      </c>
    </row>
    <row r="54" spans="1:49" hidden="1" x14ac:dyDescent="0.25">
      <c r="A54" s="1" t="s">
        <v>25</v>
      </c>
      <c r="B54" s="4">
        <f>B53</f>
        <v>-6956.8229166666679</v>
      </c>
      <c r="C54" s="4">
        <f>C53+B54</f>
        <v>-13265.052083333336</v>
      </c>
      <c r="D54" s="4">
        <f>D53+C54</f>
        <v>-18924.687500000004</v>
      </c>
      <c r="E54" s="4">
        <f t="shared" ref="E54:AW54" si="41">E53+D54</f>
        <v>-23935.729166666672</v>
      </c>
      <c r="F54" s="4">
        <f t="shared" si="41"/>
        <v>-28298.177083333339</v>
      </c>
      <c r="G54" s="4">
        <f t="shared" si="41"/>
        <v>-32012.031250000007</v>
      </c>
      <c r="H54" s="4">
        <f t="shared" si="41"/>
        <v>-34986.145833333336</v>
      </c>
      <c r="I54" s="4">
        <f t="shared" si="41"/>
        <v>-37220.520833333343</v>
      </c>
      <c r="J54" s="4">
        <f t="shared" si="41"/>
        <v>-38715.156250000015</v>
      </c>
      <c r="K54" s="4">
        <f t="shared" si="41"/>
        <v>-39470.052083333343</v>
      </c>
      <c r="L54" s="4">
        <f t="shared" si="41"/>
        <v>-39485.208333333343</v>
      </c>
      <c r="M54" s="4">
        <f t="shared" si="41"/>
        <v>-38760.625000000015</v>
      </c>
      <c r="N54" s="4">
        <f t="shared" si="41"/>
        <v>-43220.737847222241</v>
      </c>
      <c r="O54" s="4">
        <f t="shared" si="41"/>
        <v>-46724.91319444446</v>
      </c>
      <c r="P54" s="4">
        <f t="shared" si="41"/>
        <v>-49273.151041666679</v>
      </c>
      <c r="Q54" s="4">
        <f t="shared" si="41"/>
        <v>-50865.451388888912</v>
      </c>
      <c r="R54" s="4">
        <f t="shared" si="41"/>
        <v>-51501.814236111131</v>
      </c>
      <c r="S54" s="4">
        <f t="shared" si="41"/>
        <v>-51182.23958333335</v>
      </c>
      <c r="T54" s="4">
        <f t="shared" si="41"/>
        <v>-49876.345486111139</v>
      </c>
      <c r="U54" s="4">
        <f t="shared" si="41"/>
        <v>-47584.131944444453</v>
      </c>
      <c r="V54" s="4">
        <f t="shared" si="41"/>
        <v>-44305.598958333336</v>
      </c>
      <c r="W54" s="4">
        <f t="shared" si="41"/>
        <v>-40040.746527777788</v>
      </c>
      <c r="X54" s="4">
        <f t="shared" si="41"/>
        <v>-34789.574652777788</v>
      </c>
      <c r="Y54" s="4">
        <f t="shared" si="41"/>
        <v>-28552.083333333336</v>
      </c>
      <c r="Z54" s="4">
        <f t="shared" si="41"/>
        <v>-24936.440972222226</v>
      </c>
      <c r="AA54" s="4">
        <f t="shared" si="41"/>
        <v>-20118.281250000007</v>
      </c>
      <c r="AB54" s="4">
        <f t="shared" si="41"/>
        <v>-14097.604166666679</v>
      </c>
      <c r="AC54" s="4">
        <f t="shared" si="41"/>
        <v>-6874.4097222222554</v>
      </c>
      <c r="AD54" s="4">
        <f t="shared" si="41"/>
        <v>1551.3020833332921</v>
      </c>
      <c r="AE54" s="4">
        <f t="shared" si="41"/>
        <v>11179.531249999935</v>
      </c>
      <c r="AF54" s="4">
        <f t="shared" si="41"/>
        <v>22040.659722222168</v>
      </c>
      <c r="AG54" s="4">
        <f t="shared" si="41"/>
        <v>34134.687499999935</v>
      </c>
      <c r="AH54" s="4">
        <f t="shared" si="41"/>
        <v>47461.614583333263</v>
      </c>
      <c r="AI54" s="4">
        <f t="shared" si="41"/>
        <v>62021.440972222154</v>
      </c>
      <c r="AJ54" s="4">
        <f t="shared" si="41"/>
        <v>77814.166666666599</v>
      </c>
      <c r="AK54" s="4">
        <f>AK53+AJ54</f>
        <v>94839.791666666599</v>
      </c>
      <c r="AL54" s="4">
        <f t="shared" si="41"/>
        <v>113428.39409722216</v>
      </c>
      <c r="AM54" s="4">
        <f t="shared" si="41"/>
        <v>133466.09374999994</v>
      </c>
      <c r="AN54" s="4">
        <f t="shared" si="41"/>
        <v>154952.89062499994</v>
      </c>
      <c r="AO54" s="4">
        <f t="shared" si="41"/>
        <v>177888.78472222216</v>
      </c>
      <c r="AP54" s="4">
        <f t="shared" si="41"/>
        <v>202273.7760416666</v>
      </c>
      <c r="AQ54" s="4">
        <f t="shared" si="41"/>
        <v>228107.86458333326</v>
      </c>
      <c r="AR54" s="4">
        <f t="shared" si="41"/>
        <v>255421.43229166657</v>
      </c>
      <c r="AS54" s="4">
        <f t="shared" si="41"/>
        <v>284214.47916666657</v>
      </c>
      <c r="AT54" s="4">
        <f t="shared" si="41"/>
        <v>314487.00520833326</v>
      </c>
      <c r="AU54" s="4">
        <f t="shared" si="41"/>
        <v>346239.01041666663</v>
      </c>
      <c r="AV54" s="4">
        <f t="shared" si="41"/>
        <v>379470.49479166663</v>
      </c>
      <c r="AW54" s="4">
        <f t="shared" si="41"/>
        <v>414181.45833333331</v>
      </c>
    </row>
    <row r="55" spans="1:49" hidden="1"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hidden="1" x14ac:dyDescent="0.25">
      <c r="A56" s="7" t="s">
        <v>16</v>
      </c>
      <c r="B56" s="8">
        <v>1</v>
      </c>
      <c r="C56" s="8">
        <v>2</v>
      </c>
      <c r="D56" s="8">
        <v>3</v>
      </c>
      <c r="E56" s="8">
        <v>4</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hidden="1" x14ac:dyDescent="0.25">
      <c r="H57" s="4"/>
    </row>
    <row r="58" spans="1:49" hidden="1" x14ac:dyDescent="0.25">
      <c r="A58" s="1" t="s">
        <v>26</v>
      </c>
      <c r="B58" s="4">
        <f>SUM(B42:M42)</f>
        <v>0</v>
      </c>
      <c r="C58" s="4">
        <f>SUM(N42:Y42)</f>
        <v>0</v>
      </c>
      <c r="D58" s="4">
        <f>SUM(Z42:AK42)</f>
        <v>0</v>
      </c>
      <c r="E58" s="4">
        <f>SUM(AL42:AW42)</f>
        <v>0</v>
      </c>
      <c r="G58" s="52" t="s">
        <v>112</v>
      </c>
      <c r="H58" s="38">
        <f>IRR(B53:AW53)</f>
        <v>7.2420296588192823E-2</v>
      </c>
    </row>
    <row r="59" spans="1:49" hidden="1" x14ac:dyDescent="0.25">
      <c r="A59" s="9"/>
      <c r="B59" s="4"/>
      <c r="C59" s="4"/>
      <c r="D59" s="4"/>
      <c r="E59" s="4"/>
      <c r="G59" s="4"/>
      <c r="H59" s="4"/>
    </row>
    <row r="60" spans="1:49" hidden="1" x14ac:dyDescent="0.25">
      <c r="A60" s="10" t="s">
        <v>121</v>
      </c>
      <c r="B60" s="4">
        <f>SUM(B26:M26)</f>
        <v>300000</v>
      </c>
      <c r="C60" s="4">
        <f>SUM(N26:Y26)</f>
        <v>399999.99999999994</v>
      </c>
      <c r="D60" s="4">
        <f>SUM(Z26:AK26)</f>
        <v>500000.00000000017</v>
      </c>
      <c r="E60" s="4">
        <f>SUM(AL26:AW26)</f>
        <v>600000</v>
      </c>
      <c r="G60" s="4"/>
      <c r="H60" s="4"/>
    </row>
    <row r="61" spans="1:49" hidden="1" x14ac:dyDescent="0.25">
      <c r="A61" s="10" t="s">
        <v>122</v>
      </c>
      <c r="B61" s="4">
        <f>SUM(B27:M27)</f>
        <v>1706.25</v>
      </c>
      <c r="C61" s="4">
        <f>SUM(N27:Y27)</f>
        <v>5425.0000000000018</v>
      </c>
      <c r="D61" s="4">
        <f>SUM(Z27:AK27)</f>
        <v>10193.750000000005</v>
      </c>
      <c r="E61" s="4">
        <f>SUM(AL27:AW27)</f>
        <v>16012.500000000004</v>
      </c>
      <c r="G61" s="4"/>
      <c r="H61" s="4"/>
    </row>
    <row r="62" spans="1:49" hidden="1" x14ac:dyDescent="0.25">
      <c r="A62" s="10" t="s">
        <v>128</v>
      </c>
      <c r="B62" s="4">
        <f>SUM(B28:M28)</f>
        <v>53625</v>
      </c>
      <c r="C62" s="4">
        <f>SUM(N28:Y28)</f>
        <v>170500.00000000006</v>
      </c>
      <c r="D62" s="4">
        <f>SUM(Z28:AK28)</f>
        <v>320375.00000000012</v>
      </c>
      <c r="E62" s="4">
        <f>SUM(AL28:AW28)</f>
        <v>503250.00000000006</v>
      </c>
      <c r="G62" s="4"/>
      <c r="H62" s="4"/>
    </row>
    <row r="63" spans="1:49" hidden="1" x14ac:dyDescent="0.25">
      <c r="A63" s="10" t="s">
        <v>129</v>
      </c>
      <c r="B63" s="4">
        <f>SUM(B29:M29)</f>
        <v>5468.75</v>
      </c>
      <c r="C63" s="4">
        <f>SUM(N29:Y29)</f>
        <v>40885.416666666672</v>
      </c>
      <c r="D63" s="4">
        <f>SUM(Z29:AK29)</f>
        <v>91406.250000000044</v>
      </c>
      <c r="E63" s="4">
        <f>SUM(AL29:AW29)</f>
        <v>154427.0833333334</v>
      </c>
      <c r="G63" s="4"/>
      <c r="H63" s="4"/>
    </row>
    <row r="64" spans="1:49" hidden="1" x14ac:dyDescent="0.25">
      <c r="A64" s="10" t="s">
        <v>191</v>
      </c>
      <c r="B64" s="4">
        <f>SUM(B30:M32)</f>
        <v>126750</v>
      </c>
      <c r="C64" s="4">
        <f>SUM(N30:Y32)</f>
        <v>403000.00000000012</v>
      </c>
      <c r="D64" s="4">
        <f>SUM(Z30:AK32)</f>
        <v>757250.00000000035</v>
      </c>
      <c r="E64" s="4">
        <f>SUM(AL30:AW32)</f>
        <v>1189500.0000000002</v>
      </c>
      <c r="G64" s="4"/>
      <c r="H64" s="4"/>
    </row>
    <row r="65" spans="1:49" hidden="1" x14ac:dyDescent="0.25">
      <c r="A65" s="21"/>
      <c r="B65" s="4"/>
      <c r="C65" s="4"/>
      <c r="D65" s="4"/>
      <c r="E65" s="4"/>
      <c r="G65" s="4"/>
      <c r="H65" s="4"/>
    </row>
    <row r="66" spans="1:49" hidden="1" x14ac:dyDescent="0.25">
      <c r="A66" s="10" t="s">
        <v>74</v>
      </c>
      <c r="B66" s="4">
        <f>SUM(B34:M34)</f>
        <v>195000</v>
      </c>
      <c r="C66" s="4">
        <f>SUM(N34:Y34)</f>
        <v>259999.99999999997</v>
      </c>
      <c r="D66" s="4">
        <f>SUM(Z34:AK34)</f>
        <v>325000</v>
      </c>
      <c r="E66" s="4">
        <f>SUM(AL34:AW34)</f>
        <v>390000</v>
      </c>
      <c r="G66" s="4"/>
      <c r="H66" s="4"/>
    </row>
    <row r="67" spans="1:49" hidden="1" x14ac:dyDescent="0.25">
      <c r="A67" s="10" t="s">
        <v>132</v>
      </c>
      <c r="B67" s="4">
        <f>SUM(B35:M35)</f>
        <v>597.1875</v>
      </c>
      <c r="C67" s="4">
        <f>SUM(N35:Y35)</f>
        <v>1898.7500000000002</v>
      </c>
      <c r="D67" s="4">
        <f>SUM(Z35:AK35)</f>
        <v>3567.8125000000014</v>
      </c>
      <c r="E67" s="4">
        <f>SUM(AL35:AW35)</f>
        <v>5604.3750000000009</v>
      </c>
      <c r="G67" s="4"/>
      <c r="H67" s="4"/>
    </row>
    <row r="68" spans="1:49" hidden="1" x14ac:dyDescent="0.25">
      <c r="A68" s="10" t="s">
        <v>133</v>
      </c>
      <c r="B68" s="4">
        <f>SUM(B36:M36)</f>
        <v>29493.75</v>
      </c>
      <c r="C68" s="4">
        <f>SUM(N36:Y36)</f>
        <v>93775.000000000044</v>
      </c>
      <c r="D68" s="4">
        <f>SUM(Z36:AK36)</f>
        <v>176206.25000000012</v>
      </c>
      <c r="E68" s="4">
        <f>SUM(AL36:AW36)</f>
        <v>276787.50000000012</v>
      </c>
      <c r="G68" s="4"/>
      <c r="H68" s="4"/>
    </row>
    <row r="69" spans="1:49" hidden="1" x14ac:dyDescent="0.25">
      <c r="A69" s="10" t="s">
        <v>134</v>
      </c>
      <c r="B69" s="4">
        <f>SUM(B37:M37)</f>
        <v>3554.6875</v>
      </c>
      <c r="C69" s="4">
        <f>SUM(N37:Y37)</f>
        <v>26575.520833333336</v>
      </c>
      <c r="D69" s="4">
        <f>SUM(Z37:AK37)</f>
        <v>59414.062500000029</v>
      </c>
      <c r="E69" s="4">
        <f>SUM(AL37:AW37)</f>
        <v>100377.60416666672</v>
      </c>
      <c r="G69" s="4"/>
      <c r="H69" s="4"/>
    </row>
    <row r="70" spans="1:49" hidden="1" x14ac:dyDescent="0.25">
      <c r="A70" s="10" t="s">
        <v>192</v>
      </c>
      <c r="B70" s="4">
        <f>SUM(B38:M40)</f>
        <v>101400</v>
      </c>
      <c r="C70" s="4">
        <f>SUM(N38:Y40)</f>
        <v>322400.00000000006</v>
      </c>
      <c r="D70" s="4">
        <f>SUM(Z38:AK40)</f>
        <v>605800.00000000023</v>
      </c>
      <c r="E70" s="4">
        <f>SUM(AL38:AW40)</f>
        <v>951600.00000000023</v>
      </c>
      <c r="G70" s="4"/>
      <c r="H70" s="4"/>
    </row>
    <row r="71" spans="1:49" hidden="1" x14ac:dyDescent="0.25">
      <c r="A71" s="10"/>
      <c r="B71" s="4"/>
      <c r="C71" s="4"/>
      <c r="D71" s="4"/>
      <c r="E71" s="4"/>
      <c r="G71" s="4"/>
      <c r="H71" s="4"/>
    </row>
    <row r="72" spans="1:49" hidden="1" x14ac:dyDescent="0.25">
      <c r="A72" s="1" t="s">
        <v>27</v>
      </c>
      <c r="B72" s="4">
        <f>SUM(B43:M43)</f>
        <v>0</v>
      </c>
      <c r="C72" s="4">
        <f>SUM(N43:Y43)</f>
        <v>0</v>
      </c>
      <c r="D72" s="4">
        <f>SUM(Z43:AK43)</f>
        <v>0</v>
      </c>
      <c r="E72" s="4">
        <f>SUM(AL43:AW43)</f>
        <v>0</v>
      </c>
      <c r="G72" s="4"/>
      <c r="H72" s="4"/>
    </row>
    <row r="73" spans="1:49" hidden="1" x14ac:dyDescent="0.25">
      <c r="H73" s="4"/>
    </row>
    <row r="74" spans="1:49" hidden="1" x14ac:dyDescent="0.25"/>
    <row r="75" spans="1:49" hidden="1" x14ac:dyDescent="0.25">
      <c r="B75" s="4">
        <f>SUM(B58:B64)-SUM(B66:B72)</f>
        <v>157504.375</v>
      </c>
      <c r="C75" s="4">
        <f t="shared" ref="C75:E75" si="42">SUM(C58:C64)-SUM(C66:C72)</f>
        <v>315161.14583333337</v>
      </c>
      <c r="D75" s="4">
        <f t="shared" si="42"/>
        <v>509236.875</v>
      </c>
      <c r="E75" s="4">
        <f t="shared" si="42"/>
        <v>738820.10416666698</v>
      </c>
    </row>
    <row r="76" spans="1:49" hidden="1" x14ac:dyDescent="0.25"/>
    <row r="77" spans="1:49" hidden="1" x14ac:dyDescent="0.25"/>
    <row r="78" spans="1:49"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sheetData>
  <sheetProtection algorithmName="SHA-512" hashValue="PuyQzvAu1J7lFFRlbJOqBX13UiME6Lj4LFVF8SY4A1LmKGlzHqJgff1BneW7glJl+nv2KhgOwJpzzCAz0pNkag==" saltValue="BpUmQ3sUsQq7ZVjxEpq4jQ==" spinCount="100000" sheet="1" objects="1" scenarios="1"/>
  <mergeCells count="1">
    <mergeCell ref="B1:AW1"/>
  </mergeCells>
  <pageMargins left="0.70866141732283472" right="0.70866141732283472" top="0.74803149606299213" bottom="0.74803149606299213" header="0.31496062992125984" footer="0.31496062992125984"/>
  <pageSetup scale="50" orientation="landscape" r:id="rId1"/>
  <ignoredErrors>
    <ignoredError sqref="B21:AW2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A6460F8CA3D646A1BE767F90F283D2" ma:contentTypeVersion="2" ma:contentTypeDescription="Create a new document." ma:contentTypeScope="" ma:versionID="857a4a91ba839ae9ab014d1331b523e1">
  <xsd:schema xmlns:xsd="http://www.w3.org/2001/XMLSchema" xmlns:xs="http://www.w3.org/2001/XMLSchema" xmlns:p="http://schemas.microsoft.com/office/2006/metadata/properties" xmlns:ns2="ce7f45f4-ea17-414a-988a-8a25b6d77461" targetNamespace="http://schemas.microsoft.com/office/2006/metadata/properties" ma:root="true" ma:fieldsID="86ff228edc14a6e73740418b84145c0d" ns2:_="">
    <xsd:import namespace="ce7f45f4-ea17-414a-988a-8a25b6d7746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7f45f4-ea17-414a-988a-8a25b6d7746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6CE9C8-BDF1-416C-B5F8-44FC9A8B5436}"/>
</file>

<file path=customXml/itemProps2.xml><?xml version="1.0" encoding="utf-8"?>
<ds:datastoreItem xmlns:ds="http://schemas.openxmlformats.org/officeDocument/2006/customXml" ds:itemID="{E74D92EA-3B1B-4FA0-801C-A1A16F636537}"/>
</file>

<file path=customXml/itemProps3.xml><?xml version="1.0" encoding="utf-8"?>
<ds:datastoreItem xmlns:ds="http://schemas.openxmlformats.org/officeDocument/2006/customXml" ds:itemID="{0FAADE93-FF33-4674-96D6-2864DD53227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Services Overview &amp; Costs</vt:lpstr>
      <vt:lpstr>Definitions</vt:lpstr>
      <vt:lpstr>Key Variables</vt:lpstr>
      <vt:lpstr>P&amp;L Detail</vt:lpstr>
      <vt:lpstr>Users</vt:lpstr>
      <vt:lpstr>Cash Flow</vt:lpstr>
      <vt:lpstr>Resourcing</vt:lpstr>
      <vt:lpstr>"Fine Tune" Variables</vt:lpstr>
      <vt:lpstr>Core 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Willmer</dc:creator>
  <dc:description>© 1 ClickFactory 2014. All rights reserved.</dc:description>
  <cp:lastModifiedBy>I-Chin Maeda</cp:lastModifiedBy>
  <cp:lastPrinted>2011-05-31T20:13:44Z</cp:lastPrinted>
  <dcterms:created xsi:type="dcterms:W3CDTF">2010-11-09T18:01:08Z</dcterms:created>
  <dcterms:modified xsi:type="dcterms:W3CDTF">2016-09-21T18:05:49Z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0x010100BAA6460F8CA3D646A1BE767F90F283D2</vt:lpwstr>
  </property>
</Properties>
</file>