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olors3.xml" ContentType="application/vnd.ms-office.chartcolorstyle+xml"/>
  <Override PartName="/xl/drawings/drawing3.xml" ContentType="application/vnd.openxmlformats-officedocument.drawing+xml"/>
  <Override PartName="/xl/drawings/drawing2.xml" ContentType="application/vnd.openxmlformats-officedocument.drawing+xml"/>
  <Override PartName="/xl/charts/style3.xml" ContentType="application/vnd.ms-office.chartstyle+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style1.xml" ContentType="application/vnd.ms-office.chartstyle+xml"/>
  <Override PartName="/xl/charts/chart1.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charts/colors2.xml" ContentType="application/vnd.ms-office.chartcolorstyle+xml"/>
  <Override PartName="/xl/charts/style2.xml" ContentType="application/vnd.ms-office.chartstyle+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C:\Users\ichin\Documents\fy17\final MPN update docs\"/>
    </mc:Choice>
  </mc:AlternateContent>
  <bookViews>
    <workbookView xWindow="0" yWindow="0" windowWidth="28800" windowHeight="11700" tabRatio="965"/>
  </bookViews>
  <sheets>
    <sheet name="Services Overview &amp; Costs" sheetId="55" r:id="rId1"/>
    <sheet name="Definitions" sheetId="56" r:id="rId2"/>
    <sheet name="Key Variables" sheetId="44" r:id="rId3"/>
    <sheet name="&quot;Fine Tune&quot; Variables" sheetId="48" state="hidden" r:id="rId4"/>
    <sheet name="P&amp;L Impact" sheetId="30" r:id="rId5"/>
    <sheet name="Customers" sheetId="52" r:id="rId6"/>
    <sheet name="Cash Flow" sheetId="39" r:id="rId7"/>
    <sheet name="Resourcing" sheetId="54" r:id="rId8"/>
    <sheet name="Core Calculations" sheetId="31" state="hidden" r:id="rId9"/>
    <sheet name="O365 Calculations" sheetId="47" state="hidden" r:id="rId10"/>
  </sheets>
  <definedNames>
    <definedName name="PaymentFrequency">'Key Variables'!#REF!</definedName>
    <definedName name="rationalize">'"Fine Tune" Variables'!#REF!</definedName>
  </definedNames>
  <calcPr calcId="171027"/>
</workbook>
</file>

<file path=xl/calcChain.xml><?xml version="1.0" encoding="utf-8"?>
<calcChain xmlns="http://schemas.openxmlformats.org/spreadsheetml/2006/main">
  <c r="B4" i="31" l="1"/>
  <c r="B5" i="31" s="1"/>
  <c r="C4" i="31"/>
  <c r="D4" i="31"/>
  <c r="E4" i="31"/>
  <c r="E39" i="31" s="1"/>
  <c r="F4" i="31"/>
  <c r="G4" i="31"/>
  <c r="H4" i="31"/>
  <c r="H23" i="31" s="1"/>
  <c r="I4" i="31"/>
  <c r="I23" i="31" s="1"/>
  <c r="I30" i="31" s="1"/>
  <c r="J4" i="31"/>
  <c r="K4" i="31"/>
  <c r="L4" i="31"/>
  <c r="M4" i="31"/>
  <c r="M23" i="31" s="1"/>
  <c r="M30" i="31" s="1"/>
  <c r="B28" i="31"/>
  <c r="C28" i="31"/>
  <c r="D28" i="31"/>
  <c r="B5" i="47"/>
  <c r="H8" i="47" s="1"/>
  <c r="C5" i="47"/>
  <c r="F7" i="47"/>
  <c r="F22" i="47" s="1"/>
  <c r="F51" i="47" s="1"/>
  <c r="F52" i="47" s="1"/>
  <c r="D5" i="47"/>
  <c r="E5" i="47"/>
  <c r="F5" i="47"/>
  <c r="AV20" i="47" s="1"/>
  <c r="I8" i="47"/>
  <c r="G5" i="47"/>
  <c r="J7" i="47"/>
  <c r="H5" i="47"/>
  <c r="I5" i="47"/>
  <c r="AP17" i="47" s="1"/>
  <c r="L9" i="47"/>
  <c r="J5" i="47"/>
  <c r="M7" i="47"/>
  <c r="M8" i="47"/>
  <c r="E25" i="47"/>
  <c r="E40" i="47" s="1"/>
  <c r="F25" i="47"/>
  <c r="F40" i="47"/>
  <c r="H26" i="47"/>
  <c r="I26" i="47"/>
  <c r="J25" i="47"/>
  <c r="K27" i="47"/>
  <c r="L27" i="47"/>
  <c r="M25" i="47"/>
  <c r="M26" i="47"/>
  <c r="M27" i="47"/>
  <c r="B23" i="31"/>
  <c r="B30" i="31" s="1"/>
  <c r="C23" i="31"/>
  <c r="C30" i="31" s="1"/>
  <c r="F23" i="31"/>
  <c r="F30" i="31" s="1"/>
  <c r="G23" i="31"/>
  <c r="G30" i="31" s="1"/>
  <c r="J23" i="31"/>
  <c r="K23" i="31"/>
  <c r="K30" i="31" s="1"/>
  <c r="C36" i="31"/>
  <c r="F36" i="31"/>
  <c r="I36" i="31"/>
  <c r="J36" i="31"/>
  <c r="K5" i="47"/>
  <c r="K36" i="31"/>
  <c r="L5" i="47"/>
  <c r="L36" i="31" s="1"/>
  <c r="M5" i="47"/>
  <c r="M36" i="31"/>
  <c r="B39" i="31"/>
  <c r="B33" i="31"/>
  <c r="B41" i="31"/>
  <c r="B46" i="31"/>
  <c r="C39" i="31"/>
  <c r="C33" i="31"/>
  <c r="C37" i="31"/>
  <c r="C41" i="31"/>
  <c r="C46" i="31"/>
  <c r="D33" i="31"/>
  <c r="D37" i="31"/>
  <c r="D41" i="31"/>
  <c r="D46" i="31"/>
  <c r="E33" i="31"/>
  <c r="E41" i="31"/>
  <c r="E46" i="31"/>
  <c r="F33" i="31"/>
  <c r="F37" i="31"/>
  <c r="F41" i="31"/>
  <c r="F46" i="31"/>
  <c r="G33" i="31"/>
  <c r="G37" i="31"/>
  <c r="G41" i="31"/>
  <c r="G46" i="31"/>
  <c r="N4" i="31"/>
  <c r="O4" i="31"/>
  <c r="P4" i="31"/>
  <c r="Q4" i="31"/>
  <c r="R4" i="31"/>
  <c r="R23" i="31" s="1"/>
  <c r="R30" i="31" s="1"/>
  <c r="S4" i="31"/>
  <c r="T4" i="31"/>
  <c r="U4" i="31"/>
  <c r="V4" i="31"/>
  <c r="V23" i="31" s="1"/>
  <c r="V30" i="31" s="1"/>
  <c r="W4" i="31"/>
  <c r="X4" i="31"/>
  <c r="Y4" i="31"/>
  <c r="Y23" i="31" s="1"/>
  <c r="Y30" i="31" s="1"/>
  <c r="Z4" i="31"/>
  <c r="Z23" i="31" s="1"/>
  <c r="Z30" i="31" s="1"/>
  <c r="AA4" i="31"/>
  <c r="AB4" i="31"/>
  <c r="AC4" i="31"/>
  <c r="AC23" i="31" s="1"/>
  <c r="AC30" i="31" s="1"/>
  <c r="AD4" i="31"/>
  <c r="AE4" i="31"/>
  <c r="AE23" i="31" s="1"/>
  <c r="AE30" i="31" s="1"/>
  <c r="AF4" i="31"/>
  <c r="AG4" i="31"/>
  <c r="AG23" i="31" s="1"/>
  <c r="AG30" i="31" s="1"/>
  <c r="AH4" i="31"/>
  <c r="AH23" i="31" s="1"/>
  <c r="AH30" i="31" s="1"/>
  <c r="AI4" i="31"/>
  <c r="AI23" i="31" s="1"/>
  <c r="AI30" i="31" s="1"/>
  <c r="AJ4" i="31"/>
  <c r="AK4" i="31"/>
  <c r="AK23" i="31" s="1"/>
  <c r="AK30" i="31" s="1"/>
  <c r="AL4" i="31"/>
  <c r="AL23" i="31" s="1"/>
  <c r="AM4" i="31"/>
  <c r="AN4" i="31"/>
  <c r="AO4" i="31"/>
  <c r="AP4" i="31"/>
  <c r="AP23" i="31" s="1"/>
  <c r="AP30" i="31" s="1"/>
  <c r="AQ4" i="31"/>
  <c r="AQ23" i="31" s="1"/>
  <c r="AQ30" i="31" s="1"/>
  <c r="AR4" i="31"/>
  <c r="AS4" i="31"/>
  <c r="AS23" i="31" s="1"/>
  <c r="AS30" i="31" s="1"/>
  <c r="AT4" i="31"/>
  <c r="AU4" i="31"/>
  <c r="AU23" i="31" s="1"/>
  <c r="AU30" i="31" s="1"/>
  <c r="AV4" i="31"/>
  <c r="AW4" i="31"/>
  <c r="AW23" i="31" s="1"/>
  <c r="AW30" i="31" s="1"/>
  <c r="W5" i="47"/>
  <c r="AL11" i="47" s="1"/>
  <c r="T5" i="47"/>
  <c r="AL12" i="47" s="1"/>
  <c r="Q5" i="47"/>
  <c r="N5" i="47"/>
  <c r="AI5" i="47"/>
  <c r="AO8" i="47" s="1"/>
  <c r="AF5" i="47"/>
  <c r="AC5" i="47"/>
  <c r="AF7" i="47" s="1"/>
  <c r="Z5" i="47"/>
  <c r="AU31" i="47" s="1"/>
  <c r="AL15" i="47"/>
  <c r="X5" i="47"/>
  <c r="U5" i="47"/>
  <c r="AV15" i="47" s="1"/>
  <c r="R5" i="47"/>
  <c r="O5" i="47"/>
  <c r="AM14" i="47"/>
  <c r="AJ5" i="47"/>
  <c r="AS9" i="47" s="1"/>
  <c r="AG5" i="47"/>
  <c r="AJ25" i="47" s="1"/>
  <c r="AD5" i="47"/>
  <c r="AA5" i="47"/>
  <c r="AV13" i="47" s="1"/>
  <c r="AM18" i="47"/>
  <c r="Y5" i="47"/>
  <c r="AN11" i="47" s="1"/>
  <c r="V5" i="47"/>
  <c r="S5" i="47"/>
  <c r="AN13" i="47" s="1"/>
  <c r="P5" i="47"/>
  <c r="AB10" i="47" s="1"/>
  <c r="AK5" i="47"/>
  <c r="AN7" i="47" s="1"/>
  <c r="AH5" i="47"/>
  <c r="AE5" i="47"/>
  <c r="AQ10" i="47" s="1"/>
  <c r="AB5" i="47"/>
  <c r="AN15" i="47"/>
  <c r="AN16" i="47"/>
  <c r="AN18" i="47"/>
  <c r="AO14" i="47"/>
  <c r="AO9" i="47"/>
  <c r="AL5" i="47"/>
  <c r="AR8" i="47" s="1"/>
  <c r="AO16" i="47"/>
  <c r="AP13" i="47"/>
  <c r="AM5" i="47"/>
  <c r="AS8" i="47" s="1"/>
  <c r="AP16" i="47"/>
  <c r="AP19" i="47"/>
  <c r="AQ12" i="47"/>
  <c r="AQ8" i="47"/>
  <c r="AQ9" i="47"/>
  <c r="AN5" i="47"/>
  <c r="AT8" i="47" s="1"/>
  <c r="AQ16" i="47"/>
  <c r="AQ17" i="47"/>
  <c r="AQ18" i="47"/>
  <c r="AR15" i="47"/>
  <c r="AR10" i="47"/>
  <c r="AO5" i="47"/>
  <c r="AR7" i="47" s="1"/>
  <c r="AR17" i="47"/>
  <c r="AS13" i="47"/>
  <c r="AS15" i="47"/>
  <c r="AS10" i="47"/>
  <c r="AP5" i="47"/>
  <c r="AS7" i="47" s="1"/>
  <c r="AS18" i="47"/>
  <c r="AS20" i="47"/>
  <c r="AT13" i="47"/>
  <c r="AT9" i="47"/>
  <c r="AT10" i="47"/>
  <c r="AT11" i="47"/>
  <c r="AQ5" i="47"/>
  <c r="AT7" i="47" s="1"/>
  <c r="AT17" i="47"/>
  <c r="AT18" i="47"/>
  <c r="AT19" i="47"/>
  <c r="AT20" i="47"/>
  <c r="AU10" i="47"/>
  <c r="AU11" i="47"/>
  <c r="AR5" i="47"/>
  <c r="AU7" i="47" s="1"/>
  <c r="AU8" i="47"/>
  <c r="AU18" i="47"/>
  <c r="AV16" i="47"/>
  <c r="AV11" i="47"/>
  <c r="AS5" i="47"/>
  <c r="AV7" i="47" s="1"/>
  <c r="AV8" i="47"/>
  <c r="AV21" i="47"/>
  <c r="AW14" i="47"/>
  <c r="AW10" i="47"/>
  <c r="AW11" i="47"/>
  <c r="AT5" i="47"/>
  <c r="AW7" i="47" s="1"/>
  <c r="AW8" i="47"/>
  <c r="AW18" i="47"/>
  <c r="AW19" i="47"/>
  <c r="AW20" i="47"/>
  <c r="AW21" i="47"/>
  <c r="AL29" i="47"/>
  <c r="AL31" i="47"/>
  <c r="AL33" i="47"/>
  <c r="AL35" i="47"/>
  <c r="AM31" i="47"/>
  <c r="AM32" i="47"/>
  <c r="AM25" i="47"/>
  <c r="AM36" i="47"/>
  <c r="AN29" i="47"/>
  <c r="AN25" i="47"/>
  <c r="AN26" i="47"/>
  <c r="AN27" i="47"/>
  <c r="AN33" i="47"/>
  <c r="AN34" i="47"/>
  <c r="AN36" i="47"/>
  <c r="AO30" i="47"/>
  <c r="AO32" i="47"/>
  <c r="AO27" i="47"/>
  <c r="AO34" i="47"/>
  <c r="AO36" i="47"/>
  <c r="AP32" i="47"/>
  <c r="AP28" i="47"/>
  <c r="AP37" i="47"/>
  <c r="AQ30" i="47"/>
  <c r="AQ31" i="47"/>
  <c r="AQ26" i="47"/>
  <c r="AQ27" i="47"/>
  <c r="AQ25" i="47"/>
  <c r="AQ34" i="47"/>
  <c r="AQ35" i="47"/>
  <c r="AR33" i="47"/>
  <c r="AR27" i="47"/>
  <c r="AR28" i="47"/>
  <c r="AR25" i="47"/>
  <c r="AR35" i="47"/>
  <c r="AR38" i="47"/>
  <c r="AS31" i="47"/>
  <c r="AS28" i="47"/>
  <c r="AS25" i="47"/>
  <c r="AS38" i="47"/>
  <c r="AT31" i="47"/>
  <c r="AT27" i="47"/>
  <c r="AT29" i="47"/>
  <c r="AT25" i="47"/>
  <c r="AT26" i="47"/>
  <c r="AT35" i="47"/>
  <c r="AT36" i="47"/>
  <c r="AT37" i="47"/>
  <c r="AT38" i="47"/>
  <c r="AU34" i="47"/>
  <c r="AU29" i="47"/>
  <c r="AU25" i="47"/>
  <c r="AU26" i="47"/>
  <c r="AU36" i="47"/>
  <c r="AU37" i="47"/>
  <c r="AU38" i="47"/>
  <c r="AV34" i="47"/>
  <c r="AV28" i="47"/>
  <c r="AV26" i="47"/>
  <c r="AV27" i="47"/>
  <c r="AV39" i="47"/>
  <c r="AW32" i="47"/>
  <c r="AW34" i="47"/>
  <c r="AW35" i="47"/>
  <c r="AW28" i="47"/>
  <c r="AW29" i="47"/>
  <c r="AW30" i="47"/>
  <c r="AW31" i="47"/>
  <c r="AW25" i="47"/>
  <c r="AW26" i="47"/>
  <c r="AW36" i="47"/>
  <c r="AW37" i="47"/>
  <c r="AW38" i="47"/>
  <c r="AN23" i="31"/>
  <c r="AN30" i="31" s="1"/>
  <c r="AO23" i="31"/>
  <c r="AO30" i="31" s="1"/>
  <c r="AR23" i="31"/>
  <c r="AR30" i="31" s="1"/>
  <c r="AT23" i="31"/>
  <c r="AT30" i="31" s="1"/>
  <c r="AV23" i="31"/>
  <c r="AV30" i="31" s="1"/>
  <c r="AM36" i="31"/>
  <c r="AO36" i="31"/>
  <c r="AQ36" i="31"/>
  <c r="AR36" i="31"/>
  <c r="AT36" i="31"/>
  <c r="AU5" i="47"/>
  <c r="AU36" i="31" s="1"/>
  <c r="AV5" i="47"/>
  <c r="AV36" i="31" s="1"/>
  <c r="AW5" i="47"/>
  <c r="AW36" i="31" s="1"/>
  <c r="Z7" i="47"/>
  <c r="Z9" i="47"/>
  <c r="Z11" i="47"/>
  <c r="Z13" i="47"/>
  <c r="Z14" i="47"/>
  <c r="AA9" i="47"/>
  <c r="AA10" i="47"/>
  <c r="AA13" i="47"/>
  <c r="AA14" i="47"/>
  <c r="AB7" i="47"/>
  <c r="AB11" i="47"/>
  <c r="AB12" i="47"/>
  <c r="AB13" i="47"/>
  <c r="AB14" i="47"/>
  <c r="AC8" i="47"/>
  <c r="AC10" i="47"/>
  <c r="AC12" i="47"/>
  <c r="AC15" i="47"/>
  <c r="AD10" i="47"/>
  <c r="AD14" i="47"/>
  <c r="AD15" i="47"/>
  <c r="AE8" i="47"/>
  <c r="AE11" i="47"/>
  <c r="AE12" i="47"/>
  <c r="AE13" i="47"/>
  <c r="AE14" i="47"/>
  <c r="AE15" i="47"/>
  <c r="AF11" i="47"/>
  <c r="AF12" i="47"/>
  <c r="AF13" i="47"/>
  <c r="AF15" i="47"/>
  <c r="AG11" i="47"/>
  <c r="AG16" i="47"/>
  <c r="AH9" i="47"/>
  <c r="AH8" i="47"/>
  <c r="AH13" i="47"/>
  <c r="AH14" i="47"/>
  <c r="AH15" i="47"/>
  <c r="AH16" i="47"/>
  <c r="AI10" i="47"/>
  <c r="AI11" i="47"/>
  <c r="AI12" i="47"/>
  <c r="AI7" i="47"/>
  <c r="AI9" i="47"/>
  <c r="AI14" i="47"/>
  <c r="AJ10" i="47"/>
  <c r="AJ11" i="47"/>
  <c r="AJ12" i="47"/>
  <c r="AJ13" i="47"/>
  <c r="AJ7" i="47"/>
  <c r="AJ9" i="47"/>
  <c r="AJ15" i="47"/>
  <c r="AJ17" i="47"/>
  <c r="AK10" i="47"/>
  <c r="AK7" i="47"/>
  <c r="AK14" i="47"/>
  <c r="AK15" i="47"/>
  <c r="AK16" i="47"/>
  <c r="AK17" i="47"/>
  <c r="Z25" i="47"/>
  <c r="Z27" i="47"/>
  <c r="Z29" i="47"/>
  <c r="AA25" i="47"/>
  <c r="AA27" i="47"/>
  <c r="AA28" i="47"/>
  <c r="AA29" i="47"/>
  <c r="AA32" i="47"/>
  <c r="AB25" i="47"/>
  <c r="AB27" i="47"/>
  <c r="AB29" i="47"/>
  <c r="AB30" i="47"/>
  <c r="AB31" i="47"/>
  <c r="AC26" i="47"/>
  <c r="AC28" i="47"/>
  <c r="AC30" i="47"/>
  <c r="AD27" i="47"/>
  <c r="AD28" i="47"/>
  <c r="AD33" i="47"/>
  <c r="AE26" i="47"/>
  <c r="AE27" i="47"/>
  <c r="AE29" i="47"/>
  <c r="AE25" i="47"/>
  <c r="AE30" i="47"/>
  <c r="AE31" i="47"/>
  <c r="AE32" i="47"/>
  <c r="AE33" i="47"/>
  <c r="AF29" i="47"/>
  <c r="AF25" i="47"/>
  <c r="AF31" i="47"/>
  <c r="AF33" i="47"/>
  <c r="AG28" i="47"/>
  <c r="AG29" i="47"/>
  <c r="AG31" i="47"/>
  <c r="AG33" i="47"/>
  <c r="AG34" i="47"/>
  <c r="AH27" i="47"/>
  <c r="AH25" i="47"/>
  <c r="AH31" i="47"/>
  <c r="AH32" i="47"/>
  <c r="AH33" i="47"/>
  <c r="AH34" i="47"/>
  <c r="AI30" i="47"/>
  <c r="AI25" i="47"/>
  <c r="AI32" i="47"/>
  <c r="AI33" i="47"/>
  <c r="AJ30" i="47"/>
  <c r="AJ33" i="47"/>
  <c r="AJ35" i="47"/>
  <c r="AK28" i="47"/>
  <c r="AK25" i="47"/>
  <c r="AK26" i="47"/>
  <c r="AK27" i="47"/>
  <c r="AK32" i="47"/>
  <c r="AK33" i="47"/>
  <c r="AK34" i="47"/>
  <c r="AK35" i="47"/>
  <c r="AB23" i="31"/>
  <c r="AD23" i="31"/>
  <c r="AD30" i="31" s="1"/>
  <c r="AF23" i="31"/>
  <c r="AJ23" i="31"/>
  <c r="AA36" i="31"/>
  <c r="AF36" i="31"/>
  <c r="AH36" i="31"/>
  <c r="AI36" i="31"/>
  <c r="AK36" i="31"/>
  <c r="Q8" i="47"/>
  <c r="Q10" i="47"/>
  <c r="R9" i="47"/>
  <c r="R11" i="47"/>
  <c r="S8" i="47"/>
  <c r="S9" i="47"/>
  <c r="S10" i="47"/>
  <c r="T7" i="47"/>
  <c r="T9" i="47"/>
  <c r="T11" i="47"/>
  <c r="U7" i="47"/>
  <c r="U10" i="47"/>
  <c r="U12" i="47"/>
  <c r="V7" i="47"/>
  <c r="V8" i="47"/>
  <c r="V9" i="47"/>
  <c r="V10" i="47"/>
  <c r="V11" i="47"/>
  <c r="V12" i="47"/>
  <c r="W8" i="47"/>
  <c r="W10" i="47"/>
  <c r="W13" i="47"/>
  <c r="X8" i="47"/>
  <c r="X11" i="47"/>
  <c r="X12" i="47"/>
  <c r="X13" i="47"/>
  <c r="Y7" i="47"/>
  <c r="Y9" i="47"/>
  <c r="Y10" i="47"/>
  <c r="Y11" i="47"/>
  <c r="Y12" i="47"/>
  <c r="Y13" i="47"/>
  <c r="N7" i="47"/>
  <c r="N9" i="47"/>
  <c r="O8" i="47"/>
  <c r="O10" i="47"/>
  <c r="P7" i="47"/>
  <c r="P8" i="47"/>
  <c r="P9" i="47"/>
  <c r="Q26" i="47"/>
  <c r="Q28" i="47"/>
  <c r="Q29" i="47"/>
  <c r="R27" i="47"/>
  <c r="R29" i="47"/>
  <c r="S26" i="47"/>
  <c r="S27" i="47"/>
  <c r="S28" i="47"/>
  <c r="T25" i="47"/>
  <c r="T27" i="47"/>
  <c r="T28" i="47"/>
  <c r="T29" i="47"/>
  <c r="U25" i="47"/>
  <c r="U26" i="47"/>
  <c r="U30" i="47"/>
  <c r="V25" i="47"/>
  <c r="V27" i="47"/>
  <c r="V28" i="47"/>
  <c r="V29" i="47"/>
  <c r="W26" i="47"/>
  <c r="W28" i="47"/>
  <c r="X26" i="47"/>
  <c r="X29" i="47"/>
  <c r="X31" i="47"/>
  <c r="Y26" i="47"/>
  <c r="Y27" i="47"/>
  <c r="Y28" i="47"/>
  <c r="Y29" i="47"/>
  <c r="Y30" i="47"/>
  <c r="Y31" i="47"/>
  <c r="N25" i="47"/>
  <c r="N27" i="47"/>
  <c r="N28" i="47"/>
  <c r="O25" i="47"/>
  <c r="O28" i="47"/>
  <c r="P25" i="47"/>
  <c r="P26" i="47"/>
  <c r="P27" i="47"/>
  <c r="P28" i="47"/>
  <c r="N23" i="31"/>
  <c r="N30" i="31" s="1"/>
  <c r="P23" i="31"/>
  <c r="P30" i="31" s="1"/>
  <c r="Q23" i="31"/>
  <c r="Q30" i="31" s="1"/>
  <c r="T23" i="31"/>
  <c r="T30" i="31" s="1"/>
  <c r="X23" i="31"/>
  <c r="X30" i="31" s="1"/>
  <c r="O36" i="31"/>
  <c r="Q36" i="31"/>
  <c r="R36" i="31"/>
  <c r="W36" i="31"/>
  <c r="Y36" i="31"/>
  <c r="H14" i="44"/>
  <c r="E38" i="30"/>
  <c r="E37" i="30"/>
  <c r="C29" i="48"/>
  <c r="C30" i="48" s="1"/>
  <c r="G41" i="48"/>
  <c r="C7" i="48"/>
  <c r="M47" i="30"/>
  <c r="K47" i="30"/>
  <c r="I47" i="30"/>
  <c r="G47" i="30"/>
  <c r="E106" i="30"/>
  <c r="M108" i="30" s="1"/>
  <c r="I108" i="30"/>
  <c r="G108" i="30"/>
  <c r="C12" i="48"/>
  <c r="I83" i="44"/>
  <c r="M128" i="30"/>
  <c r="L131" i="30" s="1"/>
  <c r="K131" i="30"/>
  <c r="M127" i="30"/>
  <c r="K130" i="30" s="1"/>
  <c r="L130" i="30"/>
  <c r="M40" i="31"/>
  <c r="E79" i="30"/>
  <c r="M39" i="31"/>
  <c r="J39" i="31"/>
  <c r="K39" i="31"/>
  <c r="E85" i="30"/>
  <c r="E64" i="30"/>
  <c r="E75" i="30" s="1"/>
  <c r="E65" i="30"/>
  <c r="E76" i="30" s="1"/>
  <c r="E70" i="30"/>
  <c r="E81" i="30"/>
  <c r="E69" i="30"/>
  <c r="E80" i="30" s="1"/>
  <c r="H17" i="44"/>
  <c r="M21" i="30"/>
  <c r="M41" i="30" s="1"/>
  <c r="K21" i="30"/>
  <c r="K41" i="30" s="1"/>
  <c r="I21" i="30"/>
  <c r="G21" i="30"/>
  <c r="M6" i="30"/>
  <c r="K6" i="30"/>
  <c r="I6" i="30"/>
  <c r="G6" i="30"/>
  <c r="H30" i="31"/>
  <c r="J30" i="31"/>
  <c r="J83" i="44"/>
  <c r="K83" i="44" s="1"/>
  <c r="M83" i="44" s="1"/>
  <c r="E68" i="30"/>
  <c r="E113" i="30"/>
  <c r="E28" i="30"/>
  <c r="E114" i="30" s="1"/>
  <c r="E33" i="30"/>
  <c r="E13" i="30"/>
  <c r="E8" i="30"/>
  <c r="E111" i="30" s="1"/>
  <c r="E72" i="30"/>
  <c r="E110" i="30"/>
  <c r="B22" i="47"/>
  <c r="B45" i="39"/>
  <c r="AM43" i="31"/>
  <c r="AN43" i="31"/>
  <c r="AO43" i="31"/>
  <c r="AP43" i="31"/>
  <c r="AQ43" i="31"/>
  <c r="AR43" i="31"/>
  <c r="AS43" i="31"/>
  <c r="AT43" i="31"/>
  <c r="AU43" i="31"/>
  <c r="AV43" i="31"/>
  <c r="AW43" i="31"/>
  <c r="AL43" i="31"/>
  <c r="AA43" i="31"/>
  <c r="AB43" i="31"/>
  <c r="AC43" i="31"/>
  <c r="AD43" i="31"/>
  <c r="AE43" i="31"/>
  <c r="AF43" i="31"/>
  <c r="AG43" i="31"/>
  <c r="AH43" i="31"/>
  <c r="AI43" i="31"/>
  <c r="AJ43" i="31"/>
  <c r="AK43" i="31"/>
  <c r="Z43" i="31"/>
  <c r="O43" i="31"/>
  <c r="P43" i="31"/>
  <c r="Q43" i="31"/>
  <c r="R43" i="31"/>
  <c r="S43" i="31"/>
  <c r="T43" i="31"/>
  <c r="U43" i="31"/>
  <c r="V43" i="31"/>
  <c r="W43" i="31"/>
  <c r="X43" i="31"/>
  <c r="Y43" i="31"/>
  <c r="N43" i="31"/>
  <c r="C43" i="31"/>
  <c r="D43" i="31"/>
  <c r="E43" i="31"/>
  <c r="F43" i="31"/>
  <c r="G43" i="31"/>
  <c r="H43" i="31"/>
  <c r="I43" i="31"/>
  <c r="J43" i="31"/>
  <c r="K43" i="31"/>
  <c r="L43" i="31"/>
  <c r="M43" i="31"/>
  <c r="B43" i="31"/>
  <c r="E18" i="30"/>
  <c r="E61" i="30"/>
  <c r="E60" i="30"/>
  <c r="I27" i="30"/>
  <c r="G27" i="30"/>
  <c r="R37" i="31"/>
  <c r="Z37" i="31"/>
  <c r="S37" i="31"/>
  <c r="Q37" i="31"/>
  <c r="M37" i="31"/>
  <c r="AS37" i="31"/>
  <c r="J37" i="31"/>
  <c r="AN37" i="31"/>
  <c r="B4" i="47"/>
  <c r="C4" i="47" s="1"/>
  <c r="D4" i="47" s="1"/>
  <c r="E4" i="47" s="1"/>
  <c r="F4" i="47" s="1"/>
  <c r="G4" i="47" s="1"/>
  <c r="AJ37" i="31"/>
  <c r="AT37" i="31"/>
  <c r="AO37" i="31"/>
  <c r="I37" i="31"/>
  <c r="AU37" i="31"/>
  <c r="Y37" i="31"/>
  <c r="W37" i="31"/>
  <c r="O37" i="31"/>
  <c r="AK37" i="31"/>
  <c r="T37" i="31"/>
  <c r="AD37" i="31"/>
  <c r="AH37" i="31"/>
  <c r="AW37" i="31"/>
  <c r="AF37" i="31"/>
  <c r="AQ37" i="31"/>
  <c r="AG37" i="31"/>
  <c r="P37" i="31"/>
  <c r="AR37" i="31"/>
  <c r="AE37" i="31"/>
  <c r="AA37" i="31"/>
  <c r="U37" i="31"/>
  <c r="AV37" i="31"/>
  <c r="K37" i="31"/>
  <c r="AI37" i="31"/>
  <c r="M46" i="30"/>
  <c r="K46" i="30"/>
  <c r="I46" i="30"/>
  <c r="G46" i="30"/>
  <c r="D40" i="47"/>
  <c r="C40" i="47"/>
  <c r="B40" i="47"/>
  <c r="D22" i="47"/>
  <c r="D51" i="47" s="1"/>
  <c r="D52" i="47" s="1"/>
  <c r="C22" i="47"/>
  <c r="C51" i="47" s="1"/>
  <c r="C52" i="47" s="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T46" i="31"/>
  <c r="S46" i="31"/>
  <c r="R46" i="31"/>
  <c r="Q46" i="31"/>
  <c r="P46" i="31"/>
  <c r="O46" i="31"/>
  <c r="N46" i="31"/>
  <c r="M46" i="31"/>
  <c r="L46" i="31"/>
  <c r="K46" i="31"/>
  <c r="J46" i="31"/>
  <c r="I46" i="31"/>
  <c r="H46"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T41" i="31"/>
  <c r="S41" i="31"/>
  <c r="R41" i="31"/>
  <c r="Q41" i="31"/>
  <c r="P41" i="31"/>
  <c r="O41" i="31"/>
  <c r="N41" i="31"/>
  <c r="M41" i="31"/>
  <c r="L41" i="31"/>
  <c r="K41" i="31"/>
  <c r="J41" i="31"/>
  <c r="I41" i="31"/>
  <c r="H41" i="31"/>
  <c r="E48" i="30"/>
  <c r="G41" i="30"/>
  <c r="I41" i="30"/>
  <c r="G110" i="30"/>
  <c r="G113" i="30"/>
  <c r="I110" i="30"/>
  <c r="I113" i="30"/>
  <c r="K110" i="30"/>
  <c r="K113" i="30"/>
  <c r="M110" i="30"/>
  <c r="M113" i="30"/>
  <c r="B15" i="31" l="1"/>
  <c r="B9" i="31"/>
  <c r="B24" i="31" s="1"/>
  <c r="B12" i="31"/>
  <c r="H26" i="31" s="1"/>
  <c r="B10" i="31"/>
  <c r="B18" i="31" s="1"/>
  <c r="S36" i="31"/>
  <c r="P40" i="47"/>
  <c r="O27" i="47"/>
  <c r="X30" i="47"/>
  <c r="W31" i="47"/>
  <c r="U29" i="47"/>
  <c r="R28" i="47"/>
  <c r="U11" i="47"/>
  <c r="AK30" i="47"/>
  <c r="AI35" i="47"/>
  <c r="AG26" i="47"/>
  <c r="AF27" i="47"/>
  <c r="AD25" i="47"/>
  <c r="AJ16" i="47"/>
  <c r="AI17" i="47"/>
  <c r="AH7" i="47"/>
  <c r="AG15" i="47"/>
  <c r="AF16" i="47"/>
  <c r="AC7" i="47"/>
  <c r="AS36" i="31"/>
  <c r="AV25" i="47"/>
  <c r="AV33" i="47"/>
  <c r="AT33" i="47"/>
  <c r="AS32" i="47"/>
  <c r="AR31" i="47"/>
  <c r="AQ28" i="47"/>
  <c r="AO37" i="47"/>
  <c r="AO26" i="47"/>
  <c r="AM35" i="47"/>
  <c r="AL25" i="47"/>
  <c r="AW16" i="47"/>
  <c r="AU21" i="47"/>
  <c r="AU13" i="47"/>
  <c r="AQ14" i="47"/>
  <c r="AL18" i="47"/>
  <c r="B37" i="31"/>
  <c r="B36" i="31"/>
  <c r="K9" i="47"/>
  <c r="B51" i="47"/>
  <c r="B52" i="47" s="1"/>
  <c r="E51" i="30"/>
  <c r="O9" i="47"/>
  <c r="X7" i="47"/>
  <c r="Q11" i="47"/>
  <c r="AJ36" i="31"/>
  <c r="AE36" i="31"/>
  <c r="AJ27" i="47"/>
  <c r="AI28" i="47"/>
  <c r="AA31" i="47"/>
  <c r="AA26" i="47"/>
  <c r="AK12" i="47"/>
  <c r="AH11" i="47"/>
  <c r="AG8" i="47"/>
  <c r="AF9" i="47"/>
  <c r="AD9" i="47"/>
  <c r="AA8" i="47"/>
  <c r="AV38" i="47"/>
  <c r="AV31" i="47"/>
  <c r="AU39" i="47"/>
  <c r="AU28" i="47"/>
  <c r="AS30" i="47"/>
  <c r="AP26" i="47"/>
  <c r="AN31" i="47"/>
  <c r="AM28" i="47"/>
  <c r="AL36" i="47"/>
  <c r="AW12" i="47"/>
  <c r="AV10" i="47"/>
  <c r="AT15" i="47"/>
  <c r="AS14" i="47"/>
  <c r="AR13" i="47"/>
  <c r="AP8" i="47"/>
  <c r="AO12" i="47"/>
  <c r="AM7" i="47"/>
  <c r="AL7" i="47"/>
  <c r="L26" i="47"/>
  <c r="I25" i="47"/>
  <c r="I40" i="47" s="1"/>
  <c r="I7" i="47"/>
  <c r="I22" i="47" s="1"/>
  <c r="I51" i="47" s="1"/>
  <c r="I52" i="47" s="1"/>
  <c r="E7" i="47"/>
  <c r="E22" i="47" s="1"/>
  <c r="E117" i="30"/>
  <c r="K27" i="30"/>
  <c r="U36" i="31"/>
  <c r="X25" i="47"/>
  <c r="T30" i="47"/>
  <c r="N10" i="47"/>
  <c r="Y8" i="47"/>
  <c r="T12" i="47"/>
  <c r="R10" i="47"/>
  <c r="AJ34" i="47"/>
  <c r="AJ29" i="47"/>
  <c r="AH29" i="47"/>
  <c r="AF34" i="47"/>
  <c r="AE28" i="47"/>
  <c r="AD32" i="47"/>
  <c r="AC33" i="47"/>
  <c r="Z32" i="47"/>
  <c r="AK8" i="47"/>
  <c r="AG10" i="47"/>
  <c r="AE10" i="47"/>
  <c r="AD7" i="47"/>
  <c r="AB9" i="47"/>
  <c r="AU32" i="47"/>
  <c r="AS37" i="47"/>
  <c r="AS27" i="47"/>
  <c r="AQ32" i="47"/>
  <c r="AP36" i="47"/>
  <c r="AP31" i="47"/>
  <c r="AU14" i="47"/>
  <c r="AR20" i="47"/>
  <c r="AR9" i="47"/>
  <c r="AO19" i="47"/>
  <c r="N44" i="31"/>
  <c r="C40" i="31"/>
  <c r="B40" i="31"/>
  <c r="AM9" i="47"/>
  <c r="AP10" i="47"/>
  <c r="AS29" i="47"/>
  <c r="AM27" i="47"/>
  <c r="AG7" i="47"/>
  <c r="AG25" i="47"/>
  <c r="AJ8" i="47"/>
  <c r="AD36" i="31"/>
  <c r="AM11" i="47"/>
  <c r="AV14" i="47"/>
  <c r="AM29" i="47"/>
  <c r="AP30" i="47"/>
  <c r="AV32" i="47"/>
  <c r="AG9" i="47"/>
  <c r="AG27" i="47"/>
  <c r="AP12" i="47"/>
  <c r="AA7" i="47"/>
  <c r="AL14" i="47"/>
  <c r="AO15" i="47"/>
  <c r="AO33" i="47"/>
  <c r="AR34" i="47"/>
  <c r="AC11" i="47"/>
  <c r="W9" i="47"/>
  <c r="AR16" i="47"/>
  <c r="AU17" i="47"/>
  <c r="AC29" i="47"/>
  <c r="T26" i="47"/>
  <c r="K25" i="47"/>
  <c r="H36" i="31"/>
  <c r="AL34" i="47"/>
  <c r="AL16" i="47"/>
  <c r="Z12" i="47"/>
  <c r="Q9" i="47"/>
  <c r="T10" i="47"/>
  <c r="N8" i="47"/>
  <c r="N22" i="47" s="1"/>
  <c r="Q27" i="47"/>
  <c r="N26" i="47"/>
  <c r="N40" i="47" s="1"/>
  <c r="AR36" i="47"/>
  <c r="AC13" i="47"/>
  <c r="AI15" i="47"/>
  <c r="Z30" i="47"/>
  <c r="W29" i="47"/>
  <c r="N37" i="31"/>
  <c r="E89" i="30"/>
  <c r="E50" i="30"/>
  <c r="F13" i="30" s="1"/>
  <c r="H39" i="31"/>
  <c r="L40" i="31"/>
  <c r="X36" i="31"/>
  <c r="N36" i="31"/>
  <c r="U23" i="31"/>
  <c r="U30" i="31" s="1"/>
  <c r="Q25" i="47"/>
  <c r="V22" i="47"/>
  <c r="U9" i="47"/>
  <c r="Q7" i="47"/>
  <c r="AF30" i="47"/>
  <c r="AI13" i="47"/>
  <c r="AU19" i="47"/>
  <c r="AR11" i="47"/>
  <c r="AO10" i="47"/>
  <c r="AN10" i="47"/>
  <c r="AT12" i="47"/>
  <c r="AQ29" i="47"/>
  <c r="AQ11" i="47"/>
  <c r="AW13" i="47"/>
  <c r="AT30" i="47"/>
  <c r="AN28" i="47"/>
  <c r="AS16" i="47"/>
  <c r="AP33" i="47"/>
  <c r="AD29" i="47"/>
  <c r="AJ31" i="47"/>
  <c r="U8" i="47"/>
  <c r="X27" i="47"/>
  <c r="X40" i="47" s="1"/>
  <c r="AV17" i="47"/>
  <c r="AS34" i="47"/>
  <c r="AV35" i="47"/>
  <c r="AG12" i="47"/>
  <c r="AG30" i="47"/>
  <c r="R7" i="47"/>
  <c r="X9" i="47"/>
  <c r="R25" i="47"/>
  <c r="E40" i="31"/>
  <c r="H37" i="31"/>
  <c r="AB37" i="31"/>
  <c r="E90" i="30"/>
  <c r="M27" i="30"/>
  <c r="N39" i="31"/>
  <c r="B7" i="31"/>
  <c r="E83" i="30"/>
  <c r="L39" i="31"/>
  <c r="I39" i="31"/>
  <c r="H40" i="31"/>
  <c r="K40" i="31"/>
  <c r="C13" i="48"/>
  <c r="N45" i="31" s="1"/>
  <c r="K108" i="30"/>
  <c r="P36" i="31"/>
  <c r="O26" i="47"/>
  <c r="O40" i="47" s="1"/>
  <c r="W27" i="47"/>
  <c r="U27" i="47"/>
  <c r="AG36" i="31"/>
  <c r="AB36" i="31"/>
  <c r="AK31" i="47"/>
  <c r="AI31" i="47"/>
  <c r="AD30" i="47"/>
  <c r="AD26" i="47"/>
  <c r="AD40" i="47" s="1"/>
  <c r="Z28" i="47"/>
  <c r="AG13" i="47"/>
  <c r="AE7" i="47"/>
  <c r="AU35" i="47"/>
  <c r="AP34" i="47"/>
  <c r="AL32" i="47"/>
  <c r="AV12" i="47"/>
  <c r="AS11" i="47"/>
  <c r="AS22" i="47" s="1"/>
  <c r="AP15" i="47"/>
  <c r="AL10" i="47"/>
  <c r="AO11" i="47"/>
  <c r="AO29" i="47"/>
  <c r="AR30" i="47"/>
  <c r="AL28" i="47"/>
  <c r="AC25" i="47"/>
  <c r="AI27" i="47"/>
  <c r="AR12" i="47"/>
  <c r="AF8" i="47"/>
  <c r="AF26" i="47"/>
  <c r="Z36" i="31"/>
  <c r="D54" i="31" s="1"/>
  <c r="K12" i="30" s="1"/>
  <c r="E23" i="31"/>
  <c r="E30" i="31" s="1"/>
  <c r="K7" i="47"/>
  <c r="D36" i="31"/>
  <c r="G7" i="47"/>
  <c r="G22" i="47" s="1"/>
  <c r="G51" i="47" s="1"/>
  <c r="G52" i="47" s="1"/>
  <c r="J8" i="47"/>
  <c r="J22" i="47" s="1"/>
  <c r="AQ19" i="47"/>
  <c r="G25" i="47"/>
  <c r="G40" i="47" s="1"/>
  <c r="AB32" i="47"/>
  <c r="S11" i="47"/>
  <c r="P10" i="47"/>
  <c r="P22" i="47" s="1"/>
  <c r="P51" i="47" s="1"/>
  <c r="P52" i="47" s="1"/>
  <c r="S29" i="47"/>
  <c r="M9" i="47"/>
  <c r="M22" i="47" s="1"/>
  <c r="J26" i="47"/>
  <c r="J40" i="47" s="1"/>
  <c r="AQ37" i="47"/>
  <c r="AW39" i="47"/>
  <c r="V30" i="47"/>
  <c r="E51" i="47"/>
  <c r="E52" i="47" s="1"/>
  <c r="K28" i="31"/>
  <c r="AL9" i="47"/>
  <c r="AU12" i="47"/>
  <c r="AR29" i="47"/>
  <c r="AU30" i="47"/>
  <c r="AI8" i="47"/>
  <c r="AL27" i="47"/>
  <c r="AO28" i="47"/>
  <c r="AI26" i="47"/>
  <c r="AM15" i="47"/>
  <c r="AS17" i="47"/>
  <c r="AS35" i="47"/>
  <c r="AJ32" i="47"/>
  <c r="R8" i="47"/>
  <c r="X10" i="47"/>
  <c r="O7" i="47"/>
  <c r="O22" i="47" s="1"/>
  <c r="R26" i="47"/>
  <c r="AV18" i="47"/>
  <c r="AV36" i="47"/>
  <c r="AA11" i="47"/>
  <c r="AA22" i="47" s="1"/>
  <c r="AD12" i="47"/>
  <c r="W11" i="47"/>
  <c r="AC31" i="47"/>
  <c r="AF14" i="47"/>
  <c r="AD8" i="47"/>
  <c r="AV30" i="47"/>
  <c r="AN14" i="47"/>
  <c r="AQ15" i="47"/>
  <c r="AT16" i="47"/>
  <c r="AQ33" i="47"/>
  <c r="AQ40" i="47" s="1"/>
  <c r="AW17" i="47"/>
  <c r="AH12" i="47"/>
  <c r="AB28" i="47"/>
  <c r="AH30" i="47"/>
  <c r="AH40" i="47" s="1"/>
  <c r="S7" i="47"/>
  <c r="S22" i="47" s="1"/>
  <c r="S25" i="47"/>
  <c r="S40" i="47" s="1"/>
  <c r="AN32" i="47"/>
  <c r="AK13" i="47"/>
  <c r="V26" i="47"/>
  <c r="AM8" i="47"/>
  <c r="AM26" i="47"/>
  <c r="AP27" i="47"/>
  <c r="AP40" i="47" s="1"/>
  <c r="AP9" i="47"/>
  <c r="L25" i="47"/>
  <c r="L40" i="47" s="1"/>
  <c r="L7" i="47"/>
  <c r="AV19" i="47"/>
  <c r="AM34" i="47"/>
  <c r="AS36" i="47"/>
  <c r="AV37" i="47"/>
  <c r="AA12" i="47"/>
  <c r="AD13" i="47"/>
  <c r="AP35" i="47"/>
  <c r="AG14" i="47"/>
  <c r="AA30" i="47"/>
  <c r="AD31" i="47"/>
  <c r="AG32" i="47"/>
  <c r="U28" i="47"/>
  <c r="C5" i="31"/>
  <c r="B13" i="31"/>
  <c r="B11" i="31"/>
  <c r="B19" i="31" s="1"/>
  <c r="B25" i="31" s="1"/>
  <c r="H4" i="47"/>
  <c r="I4" i="47" s="1"/>
  <c r="J4" i="47" s="1"/>
  <c r="K4" i="47" s="1"/>
  <c r="L4" i="47" s="1"/>
  <c r="M4" i="47" s="1"/>
  <c r="N4" i="47" s="1"/>
  <c r="O4" i="47" s="1"/>
  <c r="P4" i="47" s="1"/>
  <c r="Q4" i="47" s="1"/>
  <c r="R4" i="47" s="1"/>
  <c r="S4" i="47" s="1"/>
  <c r="T4" i="47" s="1"/>
  <c r="U4" i="47" s="1"/>
  <c r="V4" i="47" s="1"/>
  <c r="W4" i="47" s="1"/>
  <c r="X4" i="47" s="1"/>
  <c r="Y4" i="47" s="1"/>
  <c r="Z4" i="47" s="1"/>
  <c r="AA4" i="47" s="1"/>
  <c r="AB4" i="47" s="1"/>
  <c r="AC4" i="47" s="1"/>
  <c r="AD4" i="47" s="1"/>
  <c r="AE4" i="47" s="1"/>
  <c r="AF4" i="47" s="1"/>
  <c r="AG4" i="47" s="1"/>
  <c r="AH4" i="47" s="1"/>
  <c r="AI4" i="47" s="1"/>
  <c r="AJ4" i="47" s="1"/>
  <c r="AK4" i="47" s="1"/>
  <c r="AL4" i="47" s="1"/>
  <c r="AM4" i="47" s="1"/>
  <c r="AN4" i="47" s="1"/>
  <c r="AO4" i="47" s="1"/>
  <c r="AP4" i="47" s="1"/>
  <c r="AQ4" i="47" s="1"/>
  <c r="AR4" i="47" s="1"/>
  <c r="AS4" i="47" s="1"/>
  <c r="AT4" i="47" s="1"/>
  <c r="AU4" i="47" s="1"/>
  <c r="AV4" i="47" s="1"/>
  <c r="AW4" i="47" s="1"/>
  <c r="AC37" i="31"/>
  <c r="L37" i="31"/>
  <c r="X37" i="31"/>
  <c r="B20" i="31"/>
  <c r="N40" i="31"/>
  <c r="I40" i="31"/>
  <c r="J40" i="31"/>
  <c r="X28" i="47"/>
  <c r="T8" i="47"/>
  <c r="T22" i="47" s="1"/>
  <c r="V28" i="31"/>
  <c r="AC36" i="31"/>
  <c r="AJ26" i="47"/>
  <c r="AJ40" i="47" s="1"/>
  <c r="AJ28" i="47"/>
  <c r="AH26" i="47"/>
  <c r="AF32" i="47"/>
  <c r="AK9" i="47"/>
  <c r="AK22" i="47" s="1"/>
  <c r="AJ14" i="47"/>
  <c r="AD11" i="47"/>
  <c r="Z10" i="47"/>
  <c r="AV29" i="47"/>
  <c r="AT34" i="47"/>
  <c r="AO35" i="47"/>
  <c r="AM33" i="47"/>
  <c r="AR18" i="47"/>
  <c r="AO17" i="47"/>
  <c r="AM16" i="47"/>
  <c r="K8" i="47"/>
  <c r="H25" i="47"/>
  <c r="H40" i="47" s="1"/>
  <c r="AL17" i="47"/>
  <c r="AO18" i="47"/>
  <c r="AR37" i="47"/>
  <c r="K26" i="47"/>
  <c r="E37" i="31"/>
  <c r="AC14" i="47"/>
  <c r="AI16" i="47"/>
  <c r="Z31" i="47"/>
  <c r="W30" i="47"/>
  <c r="H7" i="47"/>
  <c r="H22" i="47" s="1"/>
  <c r="E36" i="31"/>
  <c r="AR19" i="47"/>
  <c r="AU20" i="47"/>
  <c r="AC32" i="47"/>
  <c r="AI34" i="47"/>
  <c r="W12" i="47"/>
  <c r="L28" i="31"/>
  <c r="L23" i="31"/>
  <c r="L30" i="31" s="1"/>
  <c r="AH28" i="31"/>
  <c r="F28" i="31"/>
  <c r="J28" i="31"/>
  <c r="D23" i="31"/>
  <c r="D30" i="31" s="1"/>
  <c r="D40" i="31"/>
  <c r="H28" i="31"/>
  <c r="R28" i="31"/>
  <c r="G28" i="31"/>
  <c r="D39" i="31"/>
  <c r="N28" i="31"/>
  <c r="AM10" i="47"/>
  <c r="AS12" i="47"/>
  <c r="AP29" i="47"/>
  <c r="AM12" i="47"/>
  <c r="AM30" i="47"/>
  <c r="G40" i="31"/>
  <c r="G36" i="31"/>
  <c r="G39" i="31"/>
  <c r="AN17" i="47"/>
  <c r="AN35" i="47"/>
  <c r="AQ36" i="47"/>
  <c r="Y22" i="47"/>
  <c r="AN8" i="47"/>
  <c r="AT28" i="47"/>
  <c r="AT40" i="47" s="1"/>
  <c r="AN12" i="47"/>
  <c r="AT32" i="47"/>
  <c r="AM13" i="47"/>
  <c r="AP14" i="47"/>
  <c r="AS33" i="47"/>
  <c r="AL8" i="47"/>
  <c r="AL26" i="47"/>
  <c r="AL13" i="47"/>
  <c r="AL22" i="47" s="1"/>
  <c r="AU16" i="47"/>
  <c r="M40" i="47"/>
  <c r="L8" i="47"/>
  <c r="F40" i="31"/>
  <c r="AM17" i="47"/>
  <c r="AP18" i="47"/>
  <c r="AS19" i="47"/>
  <c r="F39" i="31"/>
  <c r="E28" i="31"/>
  <c r="M28" i="31"/>
  <c r="I28" i="31"/>
  <c r="AM28" i="31"/>
  <c r="AW27" i="47"/>
  <c r="AS26" i="47"/>
  <c r="AV9" i="47"/>
  <c r="AM37" i="31"/>
  <c r="AN36" i="31"/>
  <c r="AW9" i="47"/>
  <c r="AQ7" i="47"/>
  <c r="AP7" i="47"/>
  <c r="AP25" i="47"/>
  <c r="AP11" i="47"/>
  <c r="AN9" i="47"/>
  <c r="AL28" i="31"/>
  <c r="AD28" i="31"/>
  <c r="W23" i="31"/>
  <c r="W30" i="31" s="1"/>
  <c r="S23" i="31"/>
  <c r="S30" i="31" s="1"/>
  <c r="O23" i="31"/>
  <c r="O30" i="31" s="1"/>
  <c r="W7" i="47"/>
  <c r="X28" i="31"/>
  <c r="T28" i="31"/>
  <c r="P28" i="31"/>
  <c r="AC27" i="47"/>
  <c r="AK11" i="47"/>
  <c r="AJ22" i="47"/>
  <c r="AH10" i="47"/>
  <c r="AF10" i="47"/>
  <c r="Z8" i="47"/>
  <c r="Z22" i="47" s="1"/>
  <c r="Z28" i="31"/>
  <c r="AU33" i="47"/>
  <c r="AL30" i="47"/>
  <c r="AW15" i="47"/>
  <c r="AR14" i="47"/>
  <c r="AR22" i="47" s="1"/>
  <c r="AO13" i="47"/>
  <c r="V36" i="31"/>
  <c r="W25" i="47"/>
  <c r="W40" i="47" s="1"/>
  <c r="U40" i="47"/>
  <c r="W28" i="31"/>
  <c r="S28" i="31"/>
  <c r="O28" i="31"/>
  <c r="AK29" i="47"/>
  <c r="AH28" i="47"/>
  <c r="AF28" i="47"/>
  <c r="AB26" i="47"/>
  <c r="AB40" i="47" s="1"/>
  <c r="AA40" i="47"/>
  <c r="Z26" i="47"/>
  <c r="AE9" i="47"/>
  <c r="AE22" i="47" s="1"/>
  <c r="AR32" i="47"/>
  <c r="AT14" i="47"/>
  <c r="AT22" i="47" s="1"/>
  <c r="AQ13" i="47"/>
  <c r="V37" i="31"/>
  <c r="C68" i="31" s="1"/>
  <c r="I32" i="30" s="1"/>
  <c r="T36" i="31"/>
  <c r="C54" i="31" s="1"/>
  <c r="I12" i="30" s="1"/>
  <c r="Y25" i="47"/>
  <c r="Y40" i="47" s="1"/>
  <c r="T40" i="47"/>
  <c r="T51" i="47" s="1"/>
  <c r="T52" i="47" s="1"/>
  <c r="Y28" i="31"/>
  <c r="U28" i="31"/>
  <c r="Q28" i="31"/>
  <c r="AI29" i="47"/>
  <c r="AG40" i="47"/>
  <c r="AC9" i="47"/>
  <c r="AC22" i="47" s="1"/>
  <c r="AB8" i="47"/>
  <c r="AB22" i="47" s="1"/>
  <c r="AW33" i="47"/>
  <c r="AO31" i="47"/>
  <c r="AN30" i="47"/>
  <c r="AN40" i="47" s="1"/>
  <c r="AU15" i="47"/>
  <c r="AQ28" i="31"/>
  <c r="AP37" i="31"/>
  <c r="AL37" i="31"/>
  <c r="AM23" i="31"/>
  <c r="AM30" i="31" s="1"/>
  <c r="AU27" i="47"/>
  <c r="AU40" i="47" s="1"/>
  <c r="AP36" i="31"/>
  <c r="AL36" i="31"/>
  <c r="AU9" i="47"/>
  <c r="AP22" i="47"/>
  <c r="AO7" i="47"/>
  <c r="AU28" i="31"/>
  <c r="AW40" i="47"/>
  <c r="AR26" i="47"/>
  <c r="AO25" i="47"/>
  <c r="AA23" i="31"/>
  <c r="AA30" i="31" s="1"/>
  <c r="AK40" i="47"/>
  <c r="AJ28" i="31"/>
  <c r="AF28" i="31"/>
  <c r="AB28" i="31"/>
  <c r="AW28" i="31"/>
  <c r="AS28" i="31"/>
  <c r="AO28" i="31"/>
  <c r="AH22" i="47"/>
  <c r="AF22" i="47"/>
  <c r="AI28" i="31"/>
  <c r="AE28" i="31"/>
  <c r="AA28" i="31"/>
  <c r="AV28" i="31"/>
  <c r="AR28" i="31"/>
  <c r="AN28" i="31"/>
  <c r="AE40" i="47"/>
  <c r="AK28" i="31"/>
  <c r="AG28" i="31"/>
  <c r="AC28" i="31"/>
  <c r="AT28" i="31"/>
  <c r="AP28" i="31"/>
  <c r="H33" i="31"/>
  <c r="B17" i="31"/>
  <c r="B31" i="31"/>
  <c r="B32" i="31"/>
  <c r="AJ30" i="31"/>
  <c r="AF30" i="31"/>
  <c r="AB30" i="31"/>
  <c r="AL30" i="31"/>
  <c r="B56" i="31"/>
  <c r="C62" i="31" l="1"/>
  <c r="AV40" i="47"/>
  <c r="AG22" i="47"/>
  <c r="K40" i="47"/>
  <c r="B45" i="47" s="1"/>
  <c r="W22" i="47"/>
  <c r="AW22" i="47"/>
  <c r="AS40" i="47"/>
  <c r="B62" i="31"/>
  <c r="AC40" i="47"/>
  <c r="H51" i="47"/>
  <c r="H52" i="47" s="1"/>
  <c r="L22" i="47"/>
  <c r="L51" i="47" s="1"/>
  <c r="L52" i="47" s="1"/>
  <c r="AM40" i="47"/>
  <c r="AD22" i="47"/>
  <c r="AV22" i="47"/>
  <c r="AI22" i="47"/>
  <c r="D68" i="31"/>
  <c r="K32" i="30" s="1"/>
  <c r="X22" i="47"/>
  <c r="X51" i="47" s="1"/>
  <c r="X52" i="47" s="1"/>
  <c r="U22" i="47"/>
  <c r="AQ22" i="47"/>
  <c r="AQ51" i="47" s="1"/>
  <c r="AQ52" i="47" s="1"/>
  <c r="AO22" i="47"/>
  <c r="AO51" i="47" s="1"/>
  <c r="AO52" i="47" s="1"/>
  <c r="Q40" i="47"/>
  <c r="AI40" i="47"/>
  <c r="AM22" i="47"/>
  <c r="AM51" i="47" s="1"/>
  <c r="AM52" i="47" s="1"/>
  <c r="AD51" i="47"/>
  <c r="AD52" i="47" s="1"/>
  <c r="AV51" i="47"/>
  <c r="AV52" i="47" s="1"/>
  <c r="U51" i="47"/>
  <c r="U52" i="47" s="1"/>
  <c r="AA51" i="47"/>
  <c r="AA52" i="47" s="1"/>
  <c r="AN22" i="47"/>
  <c r="J51" i="47"/>
  <c r="J52" i="47" s="1"/>
  <c r="B70" i="31"/>
  <c r="C12" i="31"/>
  <c r="D5" i="31"/>
  <c r="C11" i="31"/>
  <c r="C19" i="31" s="1"/>
  <c r="C25" i="31" s="1"/>
  <c r="C9" i="31"/>
  <c r="C10" i="31"/>
  <c r="C18" i="31" s="1"/>
  <c r="C13" i="31"/>
  <c r="C15" i="31"/>
  <c r="C7" i="31"/>
  <c r="R40" i="47"/>
  <c r="C45" i="47" s="1"/>
  <c r="M51" i="47"/>
  <c r="M52" i="47" s="1"/>
  <c r="AU22" i="47"/>
  <c r="B68" i="31"/>
  <c r="G32" i="30" s="1"/>
  <c r="B54" i="31"/>
  <c r="G12" i="30" s="1"/>
  <c r="R22" i="47"/>
  <c r="Q22" i="47"/>
  <c r="B71" i="31"/>
  <c r="AG51" i="47"/>
  <c r="AG52" i="47" s="1"/>
  <c r="AF40" i="47"/>
  <c r="AO40" i="47"/>
  <c r="Y51" i="47"/>
  <c r="Y52" i="47" s="1"/>
  <c r="Z40" i="47"/>
  <c r="AL40" i="47"/>
  <c r="AL51" i="47" s="1"/>
  <c r="AL52" i="47" s="1"/>
  <c r="B27" i="31"/>
  <c r="B21" i="31"/>
  <c r="V40" i="47"/>
  <c r="V51" i="47" s="1"/>
  <c r="V52" i="47" s="1"/>
  <c r="S51" i="47"/>
  <c r="S52" i="47" s="1"/>
  <c r="O51" i="47"/>
  <c r="O52" i="47" s="1"/>
  <c r="K22" i="47"/>
  <c r="K51" i="47" s="1"/>
  <c r="K52" i="47" s="1"/>
  <c r="E93" i="30"/>
  <c r="F4" i="30"/>
  <c r="F45" i="30"/>
  <c r="F8" i="30"/>
  <c r="F6" i="30"/>
  <c r="E97" i="30"/>
  <c r="F33" i="30"/>
  <c r="E96" i="30"/>
  <c r="F10" i="30"/>
  <c r="F11" i="30"/>
  <c r="F21" i="30"/>
  <c r="F41" i="30"/>
  <c r="F47" i="30"/>
  <c r="E53" i="30"/>
  <c r="E94" i="30"/>
  <c r="F44" i="30"/>
  <c r="F5" i="30"/>
  <c r="E95" i="30"/>
  <c r="F31" i="30"/>
  <c r="F30" i="30"/>
  <c r="F46" i="30"/>
  <c r="F48" i="30"/>
  <c r="N51" i="47"/>
  <c r="N52" i="47" s="1"/>
  <c r="D56" i="31"/>
  <c r="AR40" i="47"/>
  <c r="AT51" i="47"/>
  <c r="AT52" i="47" s="1"/>
  <c r="AI51" i="47"/>
  <c r="AI52" i="47" s="1"/>
  <c r="AC51" i="47"/>
  <c r="AC52" i="47" s="1"/>
  <c r="AS51" i="47"/>
  <c r="AS52" i="47" s="1"/>
  <c r="D45" i="47"/>
  <c r="AP51" i="47"/>
  <c r="AP52" i="47" s="1"/>
  <c r="AB51" i="47"/>
  <c r="AB52" i="47" s="1"/>
  <c r="D44" i="47"/>
  <c r="W51" i="47"/>
  <c r="W52" i="47" s="1"/>
  <c r="AJ51" i="47"/>
  <c r="AJ52" i="47" s="1"/>
  <c r="AK51" i="47"/>
  <c r="AK52" i="47" s="1"/>
  <c r="C56" i="31"/>
  <c r="AF51" i="47"/>
  <c r="AF52" i="47" s="1"/>
  <c r="AN51" i="47"/>
  <c r="AN52" i="47" s="1"/>
  <c r="AH51" i="47"/>
  <c r="AH52" i="47" s="1"/>
  <c r="Z51" i="47"/>
  <c r="Z52" i="47" s="1"/>
  <c r="E62" i="31"/>
  <c r="E56" i="31"/>
  <c r="AW51" i="47"/>
  <c r="AW52" i="47" s="1"/>
  <c r="E54" i="31"/>
  <c r="M12" i="30" s="1"/>
  <c r="AX23" i="31"/>
  <c r="AX28" i="31"/>
  <c r="AU51" i="47"/>
  <c r="AU52" i="47" s="1"/>
  <c r="E68" i="31"/>
  <c r="M32" i="30" s="1"/>
  <c r="AR51" i="47"/>
  <c r="AR52" i="47" s="1"/>
  <c r="AE51" i="47"/>
  <c r="AE52" i="47" s="1"/>
  <c r="D62" i="31"/>
  <c r="AX30" i="31"/>
  <c r="D55" i="47" l="1"/>
  <c r="E44" i="47"/>
  <c r="C24" i="31"/>
  <c r="C17" i="31"/>
  <c r="B34" i="31"/>
  <c r="O45" i="31"/>
  <c r="O44" i="31"/>
  <c r="O39" i="31"/>
  <c r="O40" i="31"/>
  <c r="K7" i="30"/>
  <c r="E100" i="30"/>
  <c r="E101" i="30" s="1"/>
  <c r="F101" i="30" s="1"/>
  <c r="E103" i="30"/>
  <c r="E104" i="30" s="1"/>
  <c r="R51" i="47"/>
  <c r="R52" i="47" s="1"/>
  <c r="C20" i="31"/>
  <c r="I26" i="31"/>
  <c r="B44" i="47"/>
  <c r="Q51" i="47"/>
  <c r="Q52" i="47" s="1"/>
  <c r="C44" i="47"/>
  <c r="C32" i="31"/>
  <c r="E45" i="47"/>
  <c r="M7" i="30" s="1"/>
  <c r="C27" i="31"/>
  <c r="C34" i="31" s="1"/>
  <c r="C21" i="31"/>
  <c r="D9" i="31"/>
  <c r="D13" i="31"/>
  <c r="D11" i="31"/>
  <c r="D19" i="31" s="1"/>
  <c r="D25" i="31" s="1"/>
  <c r="D32" i="31" s="1"/>
  <c r="E5" i="31"/>
  <c r="D12" i="31"/>
  <c r="D15" i="31"/>
  <c r="D10" i="31"/>
  <c r="D18" i="31" s="1"/>
  <c r="D7" i="31"/>
  <c r="AY30" i="31"/>
  <c r="E55" i="47"/>
  <c r="D17" i="31" l="1"/>
  <c r="D24" i="31"/>
  <c r="D31" i="31" s="1"/>
  <c r="F104" i="30"/>
  <c r="G45" i="30"/>
  <c r="E12" i="31"/>
  <c r="E9" i="31"/>
  <c r="E11" i="31"/>
  <c r="E19" i="31" s="1"/>
  <c r="E25" i="31" s="1"/>
  <c r="E13" i="31"/>
  <c r="F5" i="31"/>
  <c r="E10" i="31"/>
  <c r="E18" i="31" s="1"/>
  <c r="E7" i="31"/>
  <c r="E15" i="31"/>
  <c r="P45" i="31"/>
  <c r="P44" i="31"/>
  <c r="P39" i="31"/>
  <c r="P40" i="31"/>
  <c r="D21" i="31"/>
  <c r="D27" i="31"/>
  <c r="D34" i="31" s="1"/>
  <c r="J26" i="31"/>
  <c r="J33" i="31" s="1"/>
  <c r="D20" i="31"/>
  <c r="G7" i="30"/>
  <c r="B55" i="47"/>
  <c r="I33" i="31"/>
  <c r="C55" i="47"/>
  <c r="I7" i="30"/>
  <c r="C31" i="31"/>
  <c r="G5" i="31" l="1"/>
  <c r="F13" i="31"/>
  <c r="F9" i="31"/>
  <c r="F15" i="31"/>
  <c r="F7" i="31"/>
  <c r="F11" i="31"/>
  <c r="F19" i="31" s="1"/>
  <c r="F25" i="31" s="1"/>
  <c r="F32" i="31" s="1"/>
  <c r="F10" i="31"/>
  <c r="F18" i="31" s="1"/>
  <c r="F12" i="31"/>
  <c r="K26" i="31"/>
  <c r="E20" i="31"/>
  <c r="E32" i="31"/>
  <c r="E17" i="31"/>
  <c r="E24" i="31"/>
  <c r="Q45" i="31"/>
  <c r="Q44" i="31"/>
  <c r="Q40" i="31"/>
  <c r="Q39" i="31"/>
  <c r="E27" i="31"/>
  <c r="E34" i="31" s="1"/>
  <c r="E21" i="31"/>
  <c r="L26" i="31" l="1"/>
  <c r="L33" i="31" s="1"/>
  <c r="F20" i="31"/>
  <c r="F27" i="31"/>
  <c r="F34" i="31" s="1"/>
  <c r="F21" i="31"/>
  <c r="K33" i="31"/>
  <c r="G12" i="31"/>
  <c r="H5" i="31"/>
  <c r="G11" i="31"/>
  <c r="G19" i="31" s="1"/>
  <c r="G25" i="31" s="1"/>
  <c r="G9" i="31"/>
  <c r="G13" i="31"/>
  <c r="G15" i="31"/>
  <c r="G10" i="31"/>
  <c r="G18" i="31" s="1"/>
  <c r="G7" i="31"/>
  <c r="R39" i="31"/>
  <c r="R44" i="31"/>
  <c r="R45" i="31"/>
  <c r="R40" i="31"/>
  <c r="E31" i="31"/>
  <c r="F17" i="31"/>
  <c r="F24" i="31"/>
  <c r="F31" i="31" s="1"/>
  <c r="G17" i="31" l="1"/>
  <c r="G24" i="31"/>
  <c r="G32" i="31"/>
  <c r="G27" i="31"/>
  <c r="G21" i="31"/>
  <c r="M26" i="31"/>
  <c r="G20" i="31"/>
  <c r="S45" i="31"/>
  <c r="S44" i="31"/>
  <c r="S39" i="31"/>
  <c r="S40" i="31"/>
  <c r="H9" i="31"/>
  <c r="H13" i="31"/>
  <c r="H11" i="31"/>
  <c r="H19" i="31" s="1"/>
  <c r="H25" i="31" s="1"/>
  <c r="H32" i="31" s="1"/>
  <c r="I5" i="31"/>
  <c r="H7" i="31"/>
  <c r="H15" i="31"/>
  <c r="H12" i="31"/>
  <c r="H10" i="31"/>
  <c r="H18" i="31" s="1"/>
  <c r="M33" i="31" l="1"/>
  <c r="B65" i="31" s="1"/>
  <c r="G30" i="30" s="1"/>
  <c r="B59" i="31"/>
  <c r="G10" i="30" s="1"/>
  <c r="I9" i="31"/>
  <c r="I13" i="31"/>
  <c r="I7" i="31"/>
  <c r="I11" i="31"/>
  <c r="I19" i="31" s="1"/>
  <c r="I25" i="31" s="1"/>
  <c r="I32" i="31" s="1"/>
  <c r="I10" i="31"/>
  <c r="I18" i="31" s="1"/>
  <c r="I12" i="31"/>
  <c r="J5" i="31"/>
  <c r="I15" i="31"/>
  <c r="N26" i="31"/>
  <c r="N33" i="31" s="1"/>
  <c r="H20" i="31"/>
  <c r="T45" i="31"/>
  <c r="T44" i="31"/>
  <c r="T40" i="31"/>
  <c r="T39" i="31"/>
  <c r="H21" i="31"/>
  <c r="H27" i="31"/>
  <c r="H34" i="31" s="1"/>
  <c r="H17" i="31"/>
  <c r="H24" i="31"/>
  <c r="H31" i="31" s="1"/>
  <c r="G31" i="31"/>
  <c r="G34" i="31"/>
  <c r="U44" i="31" l="1"/>
  <c r="U39" i="31"/>
  <c r="U45" i="31"/>
  <c r="U40" i="31"/>
  <c r="O26" i="31"/>
  <c r="O33" i="31" s="1"/>
  <c r="I20" i="31"/>
  <c r="I27" i="31"/>
  <c r="I34" i="31" s="1"/>
  <c r="I21" i="31"/>
  <c r="I17" i="31"/>
  <c r="I24" i="31"/>
  <c r="I65" i="44"/>
  <c r="I71" i="44" s="1"/>
  <c r="I78" i="44" s="1"/>
  <c r="K5" i="31"/>
  <c r="J13" i="31"/>
  <c r="J11" i="31"/>
  <c r="J19" i="31" s="1"/>
  <c r="J25" i="31" s="1"/>
  <c r="J9" i="31"/>
  <c r="J10" i="31"/>
  <c r="J18" i="31" s="1"/>
  <c r="J7" i="31"/>
  <c r="J12" i="31"/>
  <c r="J15" i="31"/>
  <c r="G35" i="30"/>
  <c r="C36" i="54" s="1"/>
  <c r="P26" i="31" l="1"/>
  <c r="P33" i="31" s="1"/>
  <c r="J20" i="31"/>
  <c r="J27" i="31"/>
  <c r="J34" i="31" s="1"/>
  <c r="J21" i="31"/>
  <c r="V44" i="31"/>
  <c r="V45" i="31"/>
  <c r="V40" i="31"/>
  <c r="V39" i="31"/>
  <c r="J17" i="31"/>
  <c r="J24" i="31"/>
  <c r="J31" i="31" s="1"/>
  <c r="I31" i="31"/>
  <c r="J32" i="31"/>
  <c r="L5" i="31"/>
  <c r="K11" i="31"/>
  <c r="K19" i="31" s="1"/>
  <c r="K25" i="31" s="1"/>
  <c r="K32" i="31" s="1"/>
  <c r="K9" i="31"/>
  <c r="K15" i="31"/>
  <c r="K13" i="31"/>
  <c r="K12" i="31"/>
  <c r="K7" i="31"/>
  <c r="K10" i="31"/>
  <c r="K18" i="31" s="1"/>
  <c r="K27" i="31" l="1"/>
  <c r="K34" i="31" s="1"/>
  <c r="K21" i="31"/>
  <c r="L9" i="31"/>
  <c r="L13" i="31"/>
  <c r="L11" i="31"/>
  <c r="L19" i="31" s="1"/>
  <c r="L25" i="31" s="1"/>
  <c r="L32" i="31" s="1"/>
  <c r="M5" i="31"/>
  <c r="L12" i="31"/>
  <c r="L10" i="31"/>
  <c r="L18" i="31" s="1"/>
  <c r="L7" i="31"/>
  <c r="L15" i="31"/>
  <c r="W45" i="31"/>
  <c r="W44" i="31"/>
  <c r="W39" i="31"/>
  <c r="W40" i="31"/>
  <c r="K17" i="31"/>
  <c r="K24" i="31"/>
  <c r="K31" i="31" s="1"/>
  <c r="Q26" i="31"/>
  <c r="Q33" i="31" s="1"/>
  <c r="K20" i="31"/>
  <c r="L21" i="31" l="1"/>
  <c r="L27" i="31"/>
  <c r="L34" i="31" s="1"/>
  <c r="X45" i="31"/>
  <c r="X44" i="31"/>
  <c r="X40" i="31"/>
  <c r="X39" i="31"/>
  <c r="M9" i="31"/>
  <c r="M11" i="31"/>
  <c r="M19" i="31" s="1"/>
  <c r="M13" i="31"/>
  <c r="M10" i="31"/>
  <c r="M18" i="31" s="1"/>
  <c r="C39" i="52" s="1"/>
  <c r="M12" i="31"/>
  <c r="M7" i="31"/>
  <c r="M15" i="31"/>
  <c r="N5" i="31"/>
  <c r="L20" i="31"/>
  <c r="R26" i="31"/>
  <c r="L17" i="31"/>
  <c r="L24" i="31"/>
  <c r="L31" i="31" s="1"/>
  <c r="N7" i="31" l="1"/>
  <c r="N10" i="31"/>
  <c r="N18" i="31" s="1"/>
  <c r="N15" i="31"/>
  <c r="O5" i="31"/>
  <c r="N13" i="31"/>
  <c r="N9" i="31"/>
  <c r="N12" i="31"/>
  <c r="N11" i="31"/>
  <c r="N19" i="31" s="1"/>
  <c r="N25" i="31" s="1"/>
  <c r="N32" i="31" s="1"/>
  <c r="Y45" i="31"/>
  <c r="Y44" i="31"/>
  <c r="Y39" i="31"/>
  <c r="C70" i="31" s="1"/>
  <c r="Y40" i="31"/>
  <c r="M27" i="31"/>
  <c r="M21" i="31"/>
  <c r="C41" i="52" s="1"/>
  <c r="R33" i="31"/>
  <c r="M25" i="31"/>
  <c r="C40" i="52"/>
  <c r="S26" i="31"/>
  <c r="S33" i="31" s="1"/>
  <c r="M20" i="31"/>
  <c r="M17" i="31"/>
  <c r="C38" i="52" s="1"/>
  <c r="M24" i="31"/>
  <c r="T26" i="31" l="1"/>
  <c r="T33" i="31" s="1"/>
  <c r="N20" i="31"/>
  <c r="Z40" i="31"/>
  <c r="Z44" i="31"/>
  <c r="Z45" i="31"/>
  <c r="Z39" i="31"/>
  <c r="M31" i="31"/>
  <c r="B63" i="31" s="1"/>
  <c r="G26" i="30" s="1"/>
  <c r="B57" i="31"/>
  <c r="N24" i="31"/>
  <c r="N31" i="31" s="1"/>
  <c r="N17" i="31"/>
  <c r="M32" i="31"/>
  <c r="B64" i="31" s="1"/>
  <c r="G31" i="30" s="1"/>
  <c r="B58" i="31"/>
  <c r="G11" i="30" s="1"/>
  <c r="M34" i="31"/>
  <c r="B66" i="31" s="1"/>
  <c r="G25" i="30" s="1"/>
  <c r="B60" i="31"/>
  <c r="G4" i="30" s="1"/>
  <c r="N27" i="31"/>
  <c r="N34" i="31" s="1"/>
  <c r="N21" i="31"/>
  <c r="C71" i="31"/>
  <c r="I45" i="30" s="1"/>
  <c r="O13" i="31"/>
  <c r="O15" i="31"/>
  <c r="O7" i="31"/>
  <c r="O10" i="31"/>
  <c r="O18" i="31" s="1"/>
  <c r="P5" i="31"/>
  <c r="O12" i="31"/>
  <c r="O11" i="31"/>
  <c r="O19" i="31" s="1"/>
  <c r="O25" i="31" s="1"/>
  <c r="O32" i="31" s="1"/>
  <c r="O9" i="31"/>
  <c r="O24" i="31" l="1"/>
  <c r="O17" i="31"/>
  <c r="G28" i="30"/>
  <c r="U26" i="31"/>
  <c r="U33" i="31" s="1"/>
  <c r="O20" i="31"/>
  <c r="AA39" i="31"/>
  <c r="AA45" i="31"/>
  <c r="AA44" i="31"/>
  <c r="AA40" i="31"/>
  <c r="G13" i="30"/>
  <c r="G5" i="30"/>
  <c r="B73" i="31"/>
  <c r="B75" i="31" s="1"/>
  <c r="P12" i="31"/>
  <c r="P11" i="31"/>
  <c r="P19" i="31" s="1"/>
  <c r="P25" i="31" s="1"/>
  <c r="P32" i="31" s="1"/>
  <c r="P9" i="31"/>
  <c r="P7" i="31"/>
  <c r="Q5" i="31"/>
  <c r="P13" i="31"/>
  <c r="P10" i="31"/>
  <c r="P18" i="31" s="1"/>
  <c r="P15" i="31"/>
  <c r="O21" i="31"/>
  <c r="O27" i="31"/>
  <c r="G36" i="30"/>
  <c r="C37" i="54" s="1"/>
  <c r="G33" i="30"/>
  <c r="G114" i="30" l="1"/>
  <c r="G90" i="30"/>
  <c r="Q9" i="31"/>
  <c r="Q7" i="31"/>
  <c r="R5" i="31"/>
  <c r="Q11" i="31"/>
  <c r="Q19" i="31" s="1"/>
  <c r="Q25" i="31" s="1"/>
  <c r="Q15" i="31"/>
  <c r="Q10" i="31"/>
  <c r="Q18" i="31" s="1"/>
  <c r="Q13" i="31"/>
  <c r="Q12" i="31"/>
  <c r="P20" i="31"/>
  <c r="V26" i="31"/>
  <c r="V33" i="31" s="1"/>
  <c r="G89" i="30"/>
  <c r="AB40" i="31"/>
  <c r="AB45" i="31"/>
  <c r="AB39" i="31"/>
  <c r="AB44" i="31"/>
  <c r="O31" i="31"/>
  <c r="P24" i="31"/>
  <c r="P31" i="31" s="1"/>
  <c r="P17" i="31"/>
  <c r="O34" i="31"/>
  <c r="P27" i="31"/>
  <c r="P34" i="31" s="1"/>
  <c r="P21" i="31"/>
  <c r="G8" i="30"/>
  <c r="I64" i="44"/>
  <c r="G111" i="30" l="1"/>
  <c r="G117" i="30" s="1"/>
  <c r="G50" i="30"/>
  <c r="Q27" i="31"/>
  <c r="Q34" i="31" s="1"/>
  <c r="Q21" i="31"/>
  <c r="R11" i="31"/>
  <c r="R19" i="31" s="1"/>
  <c r="R25" i="31" s="1"/>
  <c r="R32" i="31" s="1"/>
  <c r="R10" i="31"/>
  <c r="R18" i="31" s="1"/>
  <c r="S5" i="31"/>
  <c r="R12" i="31"/>
  <c r="R13" i="31"/>
  <c r="R7" i="31"/>
  <c r="R15" i="31"/>
  <c r="R9" i="31"/>
  <c r="I66" i="44"/>
  <c r="I70" i="44"/>
  <c r="AC39" i="31"/>
  <c r="AC45" i="31"/>
  <c r="AC44" i="31"/>
  <c r="AC40" i="31"/>
  <c r="Q24" i="31"/>
  <c r="Q31" i="31" s="1"/>
  <c r="Q17" i="31"/>
  <c r="Q20" i="31"/>
  <c r="W26" i="31"/>
  <c r="W33" i="31" s="1"/>
  <c r="Q32" i="31"/>
  <c r="R27" i="31" l="1"/>
  <c r="R21" i="31"/>
  <c r="H32" i="30"/>
  <c r="H46" i="30"/>
  <c r="O23" i="44"/>
  <c r="G7" i="44" s="1"/>
  <c r="G21" i="48"/>
  <c r="H45" i="30"/>
  <c r="H12" i="30"/>
  <c r="H47" i="30"/>
  <c r="H21" i="30"/>
  <c r="G57" i="30"/>
  <c r="L124" i="30"/>
  <c r="H7" i="30"/>
  <c r="H27" i="30"/>
  <c r="H41" i="30"/>
  <c r="K124" i="30"/>
  <c r="H6" i="30"/>
  <c r="H10" i="30"/>
  <c r="H30" i="30"/>
  <c r="H26" i="30"/>
  <c r="H4" i="30"/>
  <c r="H11" i="30"/>
  <c r="H31" i="30"/>
  <c r="H25" i="30"/>
  <c r="H33" i="30"/>
  <c r="H13" i="30"/>
  <c r="H5" i="30"/>
  <c r="H28" i="30"/>
  <c r="R24" i="31"/>
  <c r="R31" i="31" s="1"/>
  <c r="R17" i="31"/>
  <c r="X26" i="31"/>
  <c r="X33" i="31" s="1"/>
  <c r="R20" i="31"/>
  <c r="I77" i="44"/>
  <c r="I79" i="44" s="1"/>
  <c r="I72" i="44"/>
  <c r="H8" i="30"/>
  <c r="AD40" i="31"/>
  <c r="AD39" i="31"/>
  <c r="AD45" i="31"/>
  <c r="AD44" i="31"/>
  <c r="S15" i="31"/>
  <c r="S11" i="31"/>
  <c r="S19" i="31" s="1"/>
  <c r="S25" i="31" s="1"/>
  <c r="S32" i="31" s="1"/>
  <c r="S9" i="31"/>
  <c r="T5" i="31"/>
  <c r="S12" i="31"/>
  <c r="S13" i="31"/>
  <c r="S7" i="31"/>
  <c r="S10" i="31"/>
  <c r="S18" i="31" s="1"/>
  <c r="S20" i="31" l="1"/>
  <c r="Y26" i="31"/>
  <c r="AE44" i="31"/>
  <c r="AE45" i="31"/>
  <c r="AE40" i="31"/>
  <c r="AE39" i="31"/>
  <c r="S17" i="31"/>
  <c r="S24" i="31"/>
  <c r="S27" i="31"/>
  <c r="S34" i="31" s="1"/>
  <c r="S21" i="31"/>
  <c r="U5" i="31"/>
  <c r="T13" i="31"/>
  <c r="T12" i="31"/>
  <c r="T15" i="31"/>
  <c r="T9" i="31"/>
  <c r="T10" i="31"/>
  <c r="T18" i="31" s="1"/>
  <c r="T7" i="31"/>
  <c r="T11" i="31"/>
  <c r="T19" i="31" s="1"/>
  <c r="T25" i="31" s="1"/>
  <c r="T32" i="31" s="1"/>
  <c r="C38" i="54"/>
  <c r="G44" i="30"/>
  <c r="C42" i="31"/>
  <c r="C49" i="31" s="1"/>
  <c r="L42" i="31"/>
  <c r="L49" i="31" s="1"/>
  <c r="B42" i="31"/>
  <c r="B49" i="31" s="1"/>
  <c r="B50" i="31" s="1"/>
  <c r="C45" i="39" s="1"/>
  <c r="G42" i="31"/>
  <c r="G49" i="31" s="1"/>
  <c r="F42" i="31"/>
  <c r="F49" i="31" s="1"/>
  <c r="E42" i="31"/>
  <c r="E49" i="31" s="1"/>
  <c r="J42" i="31"/>
  <c r="J49" i="31" s="1"/>
  <c r="M42" i="31"/>
  <c r="M49" i="31" s="1"/>
  <c r="H42" i="31"/>
  <c r="H49" i="31" s="1"/>
  <c r="K42" i="31"/>
  <c r="K49" i="31" s="1"/>
  <c r="I42" i="31"/>
  <c r="I49" i="31" s="1"/>
  <c r="D42" i="31"/>
  <c r="D49" i="31" s="1"/>
  <c r="R34" i="31"/>
  <c r="C50" i="31" l="1"/>
  <c r="D45" i="39" s="1"/>
  <c r="T17" i="31"/>
  <c r="T24" i="31"/>
  <c r="T31" i="31" s="1"/>
  <c r="T27" i="31"/>
  <c r="T21" i="31"/>
  <c r="S31" i="31"/>
  <c r="U9" i="31"/>
  <c r="U15" i="31"/>
  <c r="U12" i="31"/>
  <c r="U13" i="31"/>
  <c r="U7" i="31"/>
  <c r="U11" i="31"/>
  <c r="U19" i="31" s="1"/>
  <c r="U25" i="31" s="1"/>
  <c r="U10" i="31"/>
  <c r="U18" i="31" s="1"/>
  <c r="V5" i="31"/>
  <c r="AF44" i="31"/>
  <c r="AF45" i="31"/>
  <c r="AF39" i="31"/>
  <c r="AF40" i="31"/>
  <c r="Y33" i="31"/>
  <c r="C65" i="31" s="1"/>
  <c r="I30" i="30" s="1"/>
  <c r="C59" i="31"/>
  <c r="I10" i="30" s="1"/>
  <c r="D50" i="31"/>
  <c r="E45" i="39" s="1"/>
  <c r="G48" i="30"/>
  <c r="H44" i="30"/>
  <c r="T20" i="31"/>
  <c r="Z26" i="31"/>
  <c r="Z33" i="31" s="1"/>
  <c r="J65" i="44" l="1"/>
  <c r="J71" i="44" s="1"/>
  <c r="J78" i="44" s="1"/>
  <c r="I35" i="30"/>
  <c r="D36" i="54" s="1"/>
  <c r="AG40" i="31"/>
  <c r="AG44" i="31"/>
  <c r="AG39" i="31"/>
  <c r="AG45" i="31"/>
  <c r="V9" i="31"/>
  <c r="V10" i="31"/>
  <c r="V18" i="31" s="1"/>
  <c r="W5" i="31"/>
  <c r="V15" i="31"/>
  <c r="V7" i="31"/>
  <c r="V12" i="31"/>
  <c r="V13" i="31"/>
  <c r="V11" i="31"/>
  <c r="V19" i="31" s="1"/>
  <c r="V25" i="31" s="1"/>
  <c r="V32" i="31" s="1"/>
  <c r="U27" i="31"/>
  <c r="U34" i="31" s="1"/>
  <c r="U21" i="31"/>
  <c r="H48" i="30"/>
  <c r="G51" i="30"/>
  <c r="G53" i="30" s="1"/>
  <c r="AA26" i="31"/>
  <c r="AA33" i="31" s="1"/>
  <c r="U20" i="31"/>
  <c r="T34" i="31"/>
  <c r="U32" i="31"/>
  <c r="U24" i="31"/>
  <c r="U31" i="31" s="1"/>
  <c r="U17" i="31"/>
  <c r="E50" i="31"/>
  <c r="V17" i="31" l="1"/>
  <c r="V24" i="31"/>
  <c r="V31" i="31" s="1"/>
  <c r="O24" i="44"/>
  <c r="G55" i="30"/>
  <c r="G22" i="48"/>
  <c r="F45" i="39"/>
  <c r="F50" i="31"/>
  <c r="AB26" i="31"/>
  <c r="AB33" i="31" s="1"/>
  <c r="V20" i="31"/>
  <c r="AH45" i="31"/>
  <c r="AH44" i="31"/>
  <c r="AH39" i="31"/>
  <c r="AH40" i="31"/>
  <c r="V27" i="31"/>
  <c r="V34" i="31" s="1"/>
  <c r="V21" i="31"/>
  <c r="W9" i="31"/>
  <c r="W11" i="31"/>
  <c r="W19" i="31" s="1"/>
  <c r="W25" i="31" s="1"/>
  <c r="W32" i="31" s="1"/>
  <c r="X5" i="31"/>
  <c r="W7" i="31"/>
  <c r="W13" i="31"/>
  <c r="W10" i="31"/>
  <c r="W18" i="31" s="1"/>
  <c r="W12" i="31"/>
  <c r="W15" i="31"/>
  <c r="W20" i="31" l="1"/>
  <c r="AC26" i="31"/>
  <c r="X9" i="31"/>
  <c r="X10" i="31"/>
  <c r="X18" i="31" s="1"/>
  <c r="X15" i="31"/>
  <c r="X11" i="31"/>
  <c r="X19" i="31" s="1"/>
  <c r="X25" i="31" s="1"/>
  <c r="X32" i="31" s="1"/>
  <c r="X13" i="31"/>
  <c r="X12" i="31"/>
  <c r="X7" i="31"/>
  <c r="Y5" i="31"/>
  <c r="G45" i="39"/>
  <c r="G50" i="31"/>
  <c r="W27" i="31"/>
  <c r="W34" i="31" s="1"/>
  <c r="W21" i="31"/>
  <c r="W24" i="31"/>
  <c r="W31" i="31" s="1"/>
  <c r="W17" i="31"/>
  <c r="AI45" i="31"/>
  <c r="AI44" i="31"/>
  <c r="AI39" i="31"/>
  <c r="AI40" i="31"/>
  <c r="X24" i="31" l="1"/>
  <c r="X31" i="31" s="1"/>
  <c r="X17" i="31"/>
  <c r="H45" i="39"/>
  <c r="H50" i="31"/>
  <c r="AD26" i="31"/>
  <c r="AD33" i="31" s="1"/>
  <c r="X20" i="31"/>
  <c r="X27" i="31"/>
  <c r="X34" i="31" s="1"/>
  <c r="X21" i="31"/>
  <c r="Z5" i="31"/>
  <c r="Y12" i="31"/>
  <c r="Y13" i="31"/>
  <c r="Y15" i="31"/>
  <c r="Y11" i="31"/>
  <c r="Y19" i="31" s="1"/>
  <c r="Y10" i="31"/>
  <c r="Y18" i="31" s="1"/>
  <c r="D39" i="52" s="1"/>
  <c r="Y9" i="31"/>
  <c r="Y7" i="31"/>
  <c r="AC33" i="31"/>
  <c r="AJ40" i="31"/>
  <c r="AJ39" i="31"/>
  <c r="AJ44" i="31"/>
  <c r="AJ45" i="31"/>
  <c r="Y24" i="31" l="1"/>
  <c r="Y17" i="31"/>
  <c r="D38" i="52" s="1"/>
  <c r="AK39" i="31"/>
  <c r="D70" i="31" s="1"/>
  <c r="AK40" i="31"/>
  <c r="AK44" i="31"/>
  <c r="AK45" i="31"/>
  <c r="I45" i="39"/>
  <c r="I50" i="31"/>
  <c r="Y21" i="31"/>
  <c r="D41" i="52" s="1"/>
  <c r="Y27" i="31"/>
  <c r="AE26" i="31"/>
  <c r="Y20" i="31"/>
  <c r="Y25" i="31"/>
  <c r="D40" i="52"/>
  <c r="Z11" i="31"/>
  <c r="Z19" i="31" s="1"/>
  <c r="Z25" i="31" s="1"/>
  <c r="Z32" i="31" s="1"/>
  <c r="AA5" i="31"/>
  <c r="Z12" i="31"/>
  <c r="Z7" i="31"/>
  <c r="Z9" i="31"/>
  <c r="Z15" i="31"/>
  <c r="Z13" i="31"/>
  <c r="Z10" i="31"/>
  <c r="Z18" i="31" s="1"/>
  <c r="Z17" i="31" l="1"/>
  <c r="Z24" i="31"/>
  <c r="Z31" i="31" s="1"/>
  <c r="Y34" i="31"/>
  <c r="C66" i="31" s="1"/>
  <c r="I25" i="30" s="1"/>
  <c r="C60" i="31"/>
  <c r="I4" i="30" s="1"/>
  <c r="AL44" i="31"/>
  <c r="AL39" i="31"/>
  <c r="AL45" i="31"/>
  <c r="AL40" i="31"/>
  <c r="AA9" i="31"/>
  <c r="AA15" i="31"/>
  <c r="AA13" i="31"/>
  <c r="AA12" i="31"/>
  <c r="AB5" i="31"/>
  <c r="AA7" i="31"/>
  <c r="AA11" i="31"/>
  <c r="AA19" i="31" s="1"/>
  <c r="AA25" i="31" s="1"/>
  <c r="AA32" i="31" s="1"/>
  <c r="AA10" i="31"/>
  <c r="AA18" i="31" s="1"/>
  <c r="J45" i="39"/>
  <c r="J50" i="31"/>
  <c r="D71" i="31"/>
  <c r="K45" i="30" s="1"/>
  <c r="AE33" i="31"/>
  <c r="Z27" i="31"/>
  <c r="Z34" i="31" s="1"/>
  <c r="Z21" i="31"/>
  <c r="AF26" i="31"/>
  <c r="AF33" i="31" s="1"/>
  <c r="Z20" i="31"/>
  <c r="Y32" i="31"/>
  <c r="C64" i="31" s="1"/>
  <c r="I31" i="30" s="1"/>
  <c r="C58" i="31"/>
  <c r="I11" i="30" s="1"/>
  <c r="Y31" i="31"/>
  <c r="C63" i="31" s="1"/>
  <c r="I26" i="30" s="1"/>
  <c r="C57" i="31"/>
  <c r="I28" i="30" l="1"/>
  <c r="I36" i="30"/>
  <c r="D37" i="54" s="1"/>
  <c r="I33" i="30"/>
  <c r="AA20" i="31"/>
  <c r="AG26" i="31"/>
  <c r="AG33" i="31" s="1"/>
  <c r="I13" i="30"/>
  <c r="AA27" i="31"/>
  <c r="AA21" i="31"/>
  <c r="K45" i="39"/>
  <c r="K50" i="31"/>
  <c r="AM45" i="31"/>
  <c r="AM40" i="31"/>
  <c r="AM44" i="31"/>
  <c r="AM39" i="31"/>
  <c r="I5" i="30"/>
  <c r="C73" i="31"/>
  <c r="C75" i="31" s="1"/>
  <c r="AB13" i="31"/>
  <c r="AB15" i="31"/>
  <c r="AC5" i="31"/>
  <c r="AB7" i="31"/>
  <c r="AB9" i="31"/>
  <c r="AB11" i="31"/>
  <c r="AB19" i="31" s="1"/>
  <c r="AB25" i="31" s="1"/>
  <c r="AB12" i="31"/>
  <c r="AB10" i="31"/>
  <c r="AB18" i="31" s="1"/>
  <c r="AA17" i="31"/>
  <c r="AA24" i="31"/>
  <c r="AA31" i="31" s="1"/>
  <c r="AB32" i="31" l="1"/>
  <c r="AN39" i="31"/>
  <c r="AN44" i="31"/>
  <c r="AN45" i="31"/>
  <c r="AN40" i="31"/>
  <c r="J64" i="44"/>
  <c r="AB24" i="31"/>
  <c r="AB31" i="31" s="1"/>
  <c r="AB17" i="31"/>
  <c r="AB27" i="31"/>
  <c r="AB34" i="31" s="1"/>
  <c r="AB21" i="31"/>
  <c r="AA34" i="31"/>
  <c r="I8" i="30"/>
  <c r="I90" i="30"/>
  <c r="I114" i="30"/>
  <c r="L45" i="39"/>
  <c r="L50" i="31"/>
  <c r="I89" i="30"/>
  <c r="AH26" i="31"/>
  <c r="AH33" i="31" s="1"/>
  <c r="AB20" i="31"/>
  <c r="AC13" i="31"/>
  <c r="AC12" i="31"/>
  <c r="AC11" i="31"/>
  <c r="AC19" i="31" s="1"/>
  <c r="AC25" i="31" s="1"/>
  <c r="AC32" i="31" s="1"/>
  <c r="AC15" i="31"/>
  <c r="AD5" i="31"/>
  <c r="AC7" i="31"/>
  <c r="AC9" i="31"/>
  <c r="AC10" i="31"/>
  <c r="AC18" i="31" s="1"/>
  <c r="AC24" i="31" l="1"/>
  <c r="AC17" i="31"/>
  <c r="AC20" i="31"/>
  <c r="AI26" i="31"/>
  <c r="AI33" i="31" s="1"/>
  <c r="AD12" i="31"/>
  <c r="AD15" i="31"/>
  <c r="AD9" i="31"/>
  <c r="AD11" i="31"/>
  <c r="AD19" i="31" s="1"/>
  <c r="AD25" i="31" s="1"/>
  <c r="AD32" i="31" s="1"/>
  <c r="AE5" i="31"/>
  <c r="AD10" i="31"/>
  <c r="AD18" i="31" s="1"/>
  <c r="AD13" i="31"/>
  <c r="AD7" i="31"/>
  <c r="AC27" i="31"/>
  <c r="AC21" i="31"/>
  <c r="I50" i="30"/>
  <c r="I111" i="30"/>
  <c r="I117" i="30" s="1"/>
  <c r="AO45" i="31"/>
  <c r="AO39" i="31"/>
  <c r="AO44" i="31"/>
  <c r="AO40" i="31"/>
  <c r="M45" i="39"/>
  <c r="M50" i="31"/>
  <c r="N45" i="39" s="1"/>
  <c r="J70" i="44"/>
  <c r="J66" i="44"/>
  <c r="AF5" i="31" l="1"/>
  <c r="AE7" i="31"/>
  <c r="AE15" i="31"/>
  <c r="AE10" i="31"/>
  <c r="AE18" i="31" s="1"/>
  <c r="AE13" i="31"/>
  <c r="AE12" i="31"/>
  <c r="AE11" i="31"/>
  <c r="AE19" i="31" s="1"/>
  <c r="AE25" i="31" s="1"/>
  <c r="AE9" i="31"/>
  <c r="J72" i="44"/>
  <c r="J77" i="44"/>
  <c r="J79" i="44" s="1"/>
  <c r="J8" i="30"/>
  <c r="J6" i="30"/>
  <c r="H21" i="48"/>
  <c r="J45" i="30"/>
  <c r="J32" i="30"/>
  <c r="J27" i="30"/>
  <c r="P23" i="44"/>
  <c r="H7" i="44" s="1"/>
  <c r="J46" i="30"/>
  <c r="J7" i="30"/>
  <c r="J12" i="30"/>
  <c r="J21" i="30"/>
  <c r="I57" i="30"/>
  <c r="J47" i="30"/>
  <c r="J41" i="30"/>
  <c r="J30" i="30"/>
  <c r="J10" i="30"/>
  <c r="J11" i="30"/>
  <c r="J31" i="30"/>
  <c r="J25" i="30"/>
  <c r="J26" i="30"/>
  <c r="J4" i="30"/>
  <c r="J5" i="30"/>
  <c r="J28" i="30"/>
  <c r="J13" i="30"/>
  <c r="J33" i="30"/>
  <c r="AD21" i="31"/>
  <c r="AD27" i="31"/>
  <c r="AD34" i="31" s="1"/>
  <c r="AD24" i="31"/>
  <c r="AD31" i="31" s="1"/>
  <c r="AD17" i="31"/>
  <c r="AP45" i="31"/>
  <c r="AP40" i="31"/>
  <c r="AP39" i="31"/>
  <c r="AP44" i="31"/>
  <c r="AC34" i="31"/>
  <c r="AJ26" i="31"/>
  <c r="AJ33" i="31" s="1"/>
  <c r="AD20" i="31"/>
  <c r="AC31" i="31"/>
  <c r="AF12" i="31" l="1"/>
  <c r="AF7" i="31"/>
  <c r="AF10" i="31"/>
  <c r="AF18" i="31" s="1"/>
  <c r="AG5" i="31"/>
  <c r="AF9" i="31"/>
  <c r="AF11" i="31"/>
  <c r="AF19" i="31" s="1"/>
  <c r="AF25" i="31" s="1"/>
  <c r="AF32" i="31" s="1"/>
  <c r="AF13" i="31"/>
  <c r="AF15" i="31"/>
  <c r="AE32" i="31"/>
  <c r="AQ40" i="31"/>
  <c r="AQ45" i="31"/>
  <c r="AQ39" i="31"/>
  <c r="AQ44" i="31"/>
  <c r="AE20" i="31"/>
  <c r="AK26" i="31"/>
  <c r="Y42" i="31"/>
  <c r="Y49" i="31" s="1"/>
  <c r="Q42" i="31"/>
  <c r="Q49" i="31" s="1"/>
  <c r="S42" i="31"/>
  <c r="S49" i="31" s="1"/>
  <c r="U42" i="31"/>
  <c r="U49" i="31" s="1"/>
  <c r="D38" i="54"/>
  <c r="O42" i="31"/>
  <c r="O49" i="31" s="1"/>
  <c r="R42" i="31"/>
  <c r="R49" i="31" s="1"/>
  <c r="T42" i="31"/>
  <c r="T49" i="31" s="1"/>
  <c r="X42" i="31"/>
  <c r="X49" i="31" s="1"/>
  <c r="P42" i="31"/>
  <c r="P49" i="31" s="1"/>
  <c r="N42" i="31"/>
  <c r="N49" i="31" s="1"/>
  <c r="N50" i="31" s="1"/>
  <c r="O45" i="39" s="1"/>
  <c r="W42" i="31"/>
  <c r="W49" i="31" s="1"/>
  <c r="V42" i="31"/>
  <c r="V49" i="31" s="1"/>
  <c r="I44" i="30"/>
  <c r="AE27" i="31"/>
  <c r="AE21" i="31"/>
  <c r="AE24" i="31"/>
  <c r="AE31" i="31" s="1"/>
  <c r="AE17" i="31"/>
  <c r="O50" i="31" l="1"/>
  <c r="P45" i="39" s="1"/>
  <c r="J44" i="30"/>
  <c r="I48" i="30"/>
  <c r="AF24" i="31"/>
  <c r="AF31" i="31" s="1"/>
  <c r="AF17" i="31"/>
  <c r="AE34" i="31"/>
  <c r="AF27" i="31"/>
  <c r="AF34" i="31" s="1"/>
  <c r="AF21" i="31"/>
  <c r="AF20" i="31"/>
  <c r="AL26" i="31"/>
  <c r="AL33" i="31" s="1"/>
  <c r="AK33" i="31"/>
  <c r="D65" i="31" s="1"/>
  <c r="K30" i="30" s="1"/>
  <c r="D59" i="31"/>
  <c r="K10" i="30" s="1"/>
  <c r="AR45" i="31"/>
  <c r="AR40" i="31"/>
  <c r="AR44" i="31"/>
  <c r="AR39" i="31"/>
  <c r="AG9" i="31"/>
  <c r="AG10" i="31"/>
  <c r="AG18" i="31" s="1"/>
  <c r="AG12" i="31"/>
  <c r="AG11" i="31"/>
  <c r="AG19" i="31" s="1"/>
  <c r="AG25" i="31" s="1"/>
  <c r="AG32" i="31" s="1"/>
  <c r="AG7" i="31"/>
  <c r="AH5" i="31"/>
  <c r="AG15" i="31"/>
  <c r="AG13" i="31"/>
  <c r="P50" i="31" l="1"/>
  <c r="AG24" i="31"/>
  <c r="AG31" i="31" s="1"/>
  <c r="AG17" i="31"/>
  <c r="AH11" i="31"/>
  <c r="AH19" i="31" s="1"/>
  <c r="AH25" i="31" s="1"/>
  <c r="AH32" i="31" s="1"/>
  <c r="AH15" i="31"/>
  <c r="AH9" i="31"/>
  <c r="AH12" i="31"/>
  <c r="AI5" i="31"/>
  <c r="AH7" i="31"/>
  <c r="AH13" i="31"/>
  <c r="AH10" i="31"/>
  <c r="AH18" i="31" s="1"/>
  <c r="AG27" i="31"/>
  <c r="AG34" i="31" s="1"/>
  <c r="AG21" i="31"/>
  <c r="K65" i="44"/>
  <c r="K71" i="44" s="1"/>
  <c r="K78" i="44" s="1"/>
  <c r="J48" i="30"/>
  <c r="I51" i="30"/>
  <c r="I53" i="30" s="1"/>
  <c r="AS39" i="31"/>
  <c r="AS40" i="31"/>
  <c r="AS45" i="31"/>
  <c r="AS44" i="31"/>
  <c r="AM26" i="31"/>
  <c r="AG20" i="31"/>
  <c r="K35" i="30"/>
  <c r="E36" i="54" s="1"/>
  <c r="Q45" i="39" l="1"/>
  <c r="Q50" i="31"/>
  <c r="AH20" i="31"/>
  <c r="AN26" i="31"/>
  <c r="AN33" i="31" s="1"/>
  <c r="AM33" i="31"/>
  <c r="AT39" i="31"/>
  <c r="AT40" i="31"/>
  <c r="AT45" i="31"/>
  <c r="AT44" i="31"/>
  <c r="I55" i="30"/>
  <c r="P24" i="44"/>
  <c r="H22" i="48"/>
  <c r="AI9" i="31"/>
  <c r="AJ5" i="31"/>
  <c r="AI12" i="31"/>
  <c r="AI15" i="31"/>
  <c r="AI13" i="31"/>
  <c r="AI7" i="31"/>
  <c r="AI11" i="31"/>
  <c r="AI19" i="31" s="1"/>
  <c r="AI25" i="31" s="1"/>
  <c r="AI32" i="31" s="1"/>
  <c r="AI10" i="31"/>
  <c r="AI18" i="31" s="1"/>
  <c r="AH27" i="31"/>
  <c r="AH21" i="31"/>
  <c r="AH24" i="31"/>
  <c r="AH31" i="31" s="1"/>
  <c r="AH17" i="31"/>
  <c r="R45" i="39" l="1"/>
  <c r="R50" i="31"/>
  <c r="AU44" i="31"/>
  <c r="AU39" i="31"/>
  <c r="AU45" i="31"/>
  <c r="AU40" i="31"/>
  <c r="AH34" i="31"/>
  <c r="AI21" i="31"/>
  <c r="AI27" i="31"/>
  <c r="AI34" i="31" s="1"/>
  <c r="AI24" i="31"/>
  <c r="AI31" i="31" s="1"/>
  <c r="AI17" i="31"/>
  <c r="AI20" i="31"/>
  <c r="AO26" i="31"/>
  <c r="AO33" i="31" s="1"/>
  <c r="AJ9" i="31"/>
  <c r="AJ11" i="31"/>
  <c r="AJ19" i="31" s="1"/>
  <c r="AJ25" i="31" s="1"/>
  <c r="AJ32" i="31" s="1"/>
  <c r="AJ12" i="31"/>
  <c r="AJ7" i="31"/>
  <c r="AJ13" i="31"/>
  <c r="AJ15" i="31"/>
  <c r="AK5" i="31"/>
  <c r="AJ10" i="31"/>
  <c r="AJ18" i="31" s="1"/>
  <c r="S45" i="39" l="1"/>
  <c r="S50" i="31"/>
  <c r="AL5" i="31"/>
  <c r="AK10" i="31"/>
  <c r="AK18" i="31" s="1"/>
  <c r="E39" i="52" s="1"/>
  <c r="AK11" i="31"/>
  <c r="AK19" i="31" s="1"/>
  <c r="AK7" i="31"/>
  <c r="AK15" i="31"/>
  <c r="AK9" i="31"/>
  <c r="AK13" i="31"/>
  <c r="AK12" i="31"/>
  <c r="AJ20" i="31"/>
  <c r="AP26" i="31"/>
  <c r="AP33" i="31" s="1"/>
  <c r="AJ27" i="31"/>
  <c r="AJ34" i="31" s="1"/>
  <c r="AJ21" i="31"/>
  <c r="AJ17" i="31"/>
  <c r="AJ24" i="31"/>
  <c r="AJ31" i="31" s="1"/>
  <c r="AV45" i="31"/>
  <c r="AV44" i="31"/>
  <c r="AV39" i="31"/>
  <c r="AV40" i="31"/>
  <c r="T50" i="31" l="1"/>
  <c r="T45" i="39"/>
  <c r="AK27" i="31"/>
  <c r="AK21" i="31"/>
  <c r="E41" i="52" s="1"/>
  <c r="E40" i="52"/>
  <c r="AK25" i="31"/>
  <c r="AK24" i="31"/>
  <c r="AK17" i="31"/>
  <c r="E38" i="52" s="1"/>
  <c r="AW44" i="31"/>
  <c r="AW39" i="31"/>
  <c r="AW45" i="31"/>
  <c r="AW40" i="31"/>
  <c r="E71" i="31" s="1"/>
  <c r="M45" i="30" s="1"/>
  <c r="AM5" i="31"/>
  <c r="AL9" i="31"/>
  <c r="AL10" i="31"/>
  <c r="AL18" i="31" s="1"/>
  <c r="AL12" i="31"/>
  <c r="AL15" i="31"/>
  <c r="AL13" i="31"/>
  <c r="AL11" i="31"/>
  <c r="AL19" i="31" s="1"/>
  <c r="AL25" i="31" s="1"/>
  <c r="AL32" i="31" s="1"/>
  <c r="AL7" i="31"/>
  <c r="AK20" i="31"/>
  <c r="AQ26" i="31"/>
  <c r="AQ33" i="31" s="1"/>
  <c r="U45" i="39" l="1"/>
  <c r="U50" i="31"/>
  <c r="AM11" i="31"/>
  <c r="AM19" i="31" s="1"/>
  <c r="AM25" i="31" s="1"/>
  <c r="AM32" i="31" s="1"/>
  <c r="AM15" i="31"/>
  <c r="AM13" i="31"/>
  <c r="AM10" i="31"/>
  <c r="AM18" i="31" s="1"/>
  <c r="AN5" i="31"/>
  <c r="AM9" i="31"/>
  <c r="AM12" i="31"/>
  <c r="AM7" i="31"/>
  <c r="AK34" i="31"/>
  <c r="D66" i="31" s="1"/>
  <c r="K25" i="30" s="1"/>
  <c r="D60" i="31"/>
  <c r="K4" i="30" s="1"/>
  <c r="AL20" i="31"/>
  <c r="AR26" i="31"/>
  <c r="AK32" i="31"/>
  <c r="D64" i="31" s="1"/>
  <c r="K31" i="30" s="1"/>
  <c r="D58" i="31"/>
  <c r="K11" i="30" s="1"/>
  <c r="AL27" i="31"/>
  <c r="AL34" i="31" s="1"/>
  <c r="AL21" i="31"/>
  <c r="AL24" i="31"/>
  <c r="AL31" i="31" s="1"/>
  <c r="AL17" i="31"/>
  <c r="E70" i="31"/>
  <c r="AK31" i="31"/>
  <c r="D63" i="31" s="1"/>
  <c r="K26" i="30" s="1"/>
  <c r="D57" i="31"/>
  <c r="V45" i="39" l="1"/>
  <c r="V50" i="31"/>
  <c r="AM27" i="31"/>
  <c r="AM34" i="31" s="1"/>
  <c r="AM21" i="31"/>
  <c r="K13" i="30"/>
  <c r="AM24" i="31"/>
  <c r="AM17" i="31"/>
  <c r="K36" i="30"/>
  <c r="E37" i="54" s="1"/>
  <c r="K33" i="30"/>
  <c r="AR33" i="31"/>
  <c r="K5" i="30"/>
  <c r="K8" i="30" s="1"/>
  <c r="D73" i="31"/>
  <c r="D75" i="31" s="1"/>
  <c r="AM20" i="31"/>
  <c r="AS26" i="31"/>
  <c r="AS33" i="31" s="1"/>
  <c r="K28" i="30"/>
  <c r="AN12" i="31"/>
  <c r="AN15" i="31"/>
  <c r="AO5" i="31"/>
  <c r="AN7" i="31"/>
  <c r="AN9" i="31"/>
  <c r="AN11" i="31"/>
  <c r="AN19" i="31" s="1"/>
  <c r="AN25" i="31" s="1"/>
  <c r="AN32" i="31" s="1"/>
  <c r="AN13" i="31"/>
  <c r="AN10" i="31"/>
  <c r="AN18" i="31" s="1"/>
  <c r="W50" i="31" l="1"/>
  <c r="W45" i="39"/>
  <c r="AO11" i="31"/>
  <c r="AO19" i="31" s="1"/>
  <c r="AO25" i="31" s="1"/>
  <c r="AO15" i="31"/>
  <c r="AP5" i="31"/>
  <c r="AO12" i="31"/>
  <c r="AO13" i="31"/>
  <c r="AO10" i="31"/>
  <c r="AO18" i="31" s="1"/>
  <c r="AO9" i="31"/>
  <c r="AO7" i="31"/>
  <c r="K114" i="30"/>
  <c r="L28" i="30"/>
  <c r="K111" i="30"/>
  <c r="K50" i="30"/>
  <c r="L13" i="30" s="1"/>
  <c r="K90" i="30"/>
  <c r="L33" i="30"/>
  <c r="AN21" i="31"/>
  <c r="AN27" i="31"/>
  <c r="K64" i="44"/>
  <c r="L5" i="30"/>
  <c r="AM31" i="31"/>
  <c r="AN17" i="31"/>
  <c r="AN24" i="31"/>
  <c r="AN31" i="31" s="1"/>
  <c r="AT26" i="31"/>
  <c r="AT33" i="31" s="1"/>
  <c r="AN20" i="31"/>
  <c r="K89" i="30"/>
  <c r="X50" i="31" l="1"/>
  <c r="X45" i="39"/>
  <c r="AQ5" i="31"/>
  <c r="AP7" i="31"/>
  <c r="AP12" i="31"/>
  <c r="AP10" i="31"/>
  <c r="AP18" i="31" s="1"/>
  <c r="AP9" i="31"/>
  <c r="AP13" i="31"/>
  <c r="AP15" i="31"/>
  <c r="AP11" i="31"/>
  <c r="AP19" i="31" s="1"/>
  <c r="AP25" i="31" s="1"/>
  <c r="AO27" i="31"/>
  <c r="AO34" i="31" s="1"/>
  <c r="AO21" i="31"/>
  <c r="AO32" i="31"/>
  <c r="AN34" i="31"/>
  <c r="K117" i="30"/>
  <c r="AU26" i="31"/>
  <c r="AU33" i="31" s="1"/>
  <c r="AO20" i="31"/>
  <c r="AO24" i="31"/>
  <c r="AO17" i="31"/>
  <c r="K70" i="44"/>
  <c r="K66" i="44"/>
  <c r="L8" i="30"/>
  <c r="L27" i="30"/>
  <c r="L47" i="30"/>
  <c r="L21" i="30"/>
  <c r="L7" i="30"/>
  <c r="I21" i="48"/>
  <c r="L12" i="30"/>
  <c r="Q23" i="44"/>
  <c r="J7" i="44" s="1"/>
  <c r="K57" i="30"/>
  <c r="L46" i="30"/>
  <c r="L45" i="30"/>
  <c r="L32" i="30"/>
  <c r="L41" i="30"/>
  <c r="L6" i="30"/>
  <c r="L10" i="30"/>
  <c r="L30" i="30"/>
  <c r="L11" i="30"/>
  <c r="L4" i="30"/>
  <c r="L25" i="30"/>
  <c r="L31" i="30"/>
  <c r="L26" i="30"/>
  <c r="Y45" i="39" l="1"/>
  <c r="Y50" i="31"/>
  <c r="Z45" i="39" s="1"/>
  <c r="AB42" i="31"/>
  <c r="AB49" i="31" s="1"/>
  <c r="E38" i="54"/>
  <c r="AK42" i="31"/>
  <c r="AK49" i="31" s="1"/>
  <c r="AI42" i="31"/>
  <c r="AI49" i="31" s="1"/>
  <c r="AJ42" i="31"/>
  <c r="AJ49" i="31" s="1"/>
  <c r="AD42" i="31"/>
  <c r="AD49" i="31" s="1"/>
  <c r="AC42" i="31"/>
  <c r="AC49" i="31" s="1"/>
  <c r="Z42" i="31"/>
  <c r="Z49" i="31" s="1"/>
  <c r="Z50" i="31" s="1"/>
  <c r="AA45" i="39" s="1"/>
  <c r="AF42" i="31"/>
  <c r="AF49" i="31" s="1"/>
  <c r="AG42" i="31"/>
  <c r="AG49" i="31" s="1"/>
  <c r="AA42" i="31"/>
  <c r="AA49" i="31" s="1"/>
  <c r="AH42" i="31"/>
  <c r="AH49" i="31" s="1"/>
  <c r="AE42" i="31"/>
  <c r="AE49" i="31" s="1"/>
  <c r="K44" i="30"/>
  <c r="AP32" i="31"/>
  <c r="K72" i="44"/>
  <c r="K77" i="44"/>
  <c r="K79" i="44" s="1"/>
  <c r="AV26" i="31"/>
  <c r="AV33" i="31" s="1"/>
  <c r="AP20" i="31"/>
  <c r="AP27" i="31"/>
  <c r="AP21" i="31"/>
  <c r="AO31" i="31"/>
  <c r="AP24" i="31"/>
  <c r="AP31" i="31" s="1"/>
  <c r="AP17" i="31"/>
  <c r="AQ7" i="31"/>
  <c r="AQ15" i="31"/>
  <c r="AQ12" i="31"/>
  <c r="AQ13" i="31"/>
  <c r="AQ10" i="31"/>
  <c r="AQ18" i="31" s="1"/>
  <c r="AQ11" i="31"/>
  <c r="AQ19" i="31" s="1"/>
  <c r="AQ25" i="31" s="1"/>
  <c r="AR5" i="31"/>
  <c r="AQ9" i="31"/>
  <c r="AQ21" i="31" l="1"/>
  <c r="AQ27" i="31"/>
  <c r="AQ34" i="31" s="1"/>
  <c r="AR13" i="31"/>
  <c r="AR12" i="31"/>
  <c r="AR20" i="31" s="1"/>
  <c r="AS5" i="31"/>
  <c r="AR11" i="31"/>
  <c r="AR19" i="31" s="1"/>
  <c r="AR25" i="31" s="1"/>
  <c r="AR9" i="31"/>
  <c r="AR15" i="31"/>
  <c r="AR10" i="31"/>
  <c r="AR18" i="31" s="1"/>
  <c r="AR7" i="31"/>
  <c r="AQ20" i="31"/>
  <c r="AW26" i="31"/>
  <c r="K48" i="30"/>
  <c r="L44" i="30"/>
  <c r="AQ17" i="31"/>
  <c r="AQ24" i="31"/>
  <c r="AQ31" i="31" s="1"/>
  <c r="AQ32" i="31"/>
  <c r="AP34" i="31"/>
  <c r="AA50" i="31"/>
  <c r="AS9" i="31" l="1"/>
  <c r="AS7" i="31"/>
  <c r="AS11" i="31"/>
  <c r="AS19" i="31" s="1"/>
  <c r="AS25" i="31" s="1"/>
  <c r="AS12" i="31"/>
  <c r="AS20" i="31" s="1"/>
  <c r="AT5" i="31"/>
  <c r="AS15" i="31"/>
  <c r="AS13" i="31"/>
  <c r="AS10" i="31"/>
  <c r="AS18" i="31" s="1"/>
  <c r="AW33" i="31"/>
  <c r="E59" i="31"/>
  <c r="M10" i="30" s="1"/>
  <c r="L48" i="30"/>
  <c r="K51" i="30"/>
  <c r="K53" i="30" s="1"/>
  <c r="AR32" i="31"/>
  <c r="AB50" i="31"/>
  <c r="AB45" i="39"/>
  <c r="AR24" i="31"/>
  <c r="AR17" i="31"/>
  <c r="AR27" i="31"/>
  <c r="AR34" i="31" s="1"/>
  <c r="AR21" i="31"/>
  <c r="AC45" i="39" l="1"/>
  <c r="AC50" i="31"/>
  <c r="E65" i="31"/>
  <c r="M30" i="30" s="1"/>
  <c r="AX33" i="31"/>
  <c r="AS24" i="31"/>
  <c r="AS31" i="31" s="1"/>
  <c r="AS17" i="31"/>
  <c r="Q24" i="44"/>
  <c r="I22" i="48"/>
  <c r="K55" i="30"/>
  <c r="L65" i="44"/>
  <c r="AT9" i="31"/>
  <c r="AU5" i="31"/>
  <c r="AT12" i="31"/>
  <c r="AT20" i="31" s="1"/>
  <c r="AT13" i="31"/>
  <c r="AT15" i="31"/>
  <c r="AT11" i="31"/>
  <c r="AT19" i="31" s="1"/>
  <c r="AT25" i="31" s="1"/>
  <c r="AT7" i="31"/>
  <c r="AT10" i="31"/>
  <c r="AT18" i="31" s="1"/>
  <c r="AR31" i="31"/>
  <c r="AS27" i="31"/>
  <c r="AS34" i="31" s="1"/>
  <c r="AS21" i="31"/>
  <c r="AS32" i="31"/>
  <c r="AU11" i="31" l="1"/>
  <c r="AU19" i="31" s="1"/>
  <c r="AU25" i="31" s="1"/>
  <c r="AU12" i="31"/>
  <c r="AU20" i="31" s="1"/>
  <c r="AU10" i="31"/>
  <c r="AU18" i="31" s="1"/>
  <c r="AU15" i="31"/>
  <c r="AU13" i="31"/>
  <c r="AU7" i="31"/>
  <c r="AV5" i="31"/>
  <c r="AU9" i="31"/>
  <c r="AT17" i="31"/>
  <c r="AT24" i="31"/>
  <c r="M35" i="30"/>
  <c r="F36" i="54" s="1"/>
  <c r="AT32" i="31"/>
  <c r="N65" i="44"/>
  <c r="L71" i="44"/>
  <c r="AD45" i="39"/>
  <c r="AD50" i="31"/>
  <c r="AT27" i="31"/>
  <c r="AT34" i="31" s="1"/>
  <c r="AT21" i="31"/>
  <c r="AU21" i="31" l="1"/>
  <c r="AU27" i="31"/>
  <c r="AU34" i="31" s="1"/>
  <c r="AV13" i="31"/>
  <c r="AV12" i="31"/>
  <c r="AV20" i="31" s="1"/>
  <c r="AV11" i="31"/>
  <c r="AV19" i="31" s="1"/>
  <c r="AV25" i="31" s="1"/>
  <c r="AV32" i="31" s="1"/>
  <c r="AV15" i="31"/>
  <c r="AV9" i="31"/>
  <c r="AV7" i="31"/>
  <c r="AV10" i="31"/>
  <c r="AV18" i="31" s="1"/>
  <c r="AW5" i="31"/>
  <c r="N71" i="44"/>
  <c r="O71" i="44" s="1"/>
  <c r="L78" i="44"/>
  <c r="AT31" i="31"/>
  <c r="AU32" i="31"/>
  <c r="AE45" i="39"/>
  <c r="AE50" i="31"/>
  <c r="AU24" i="31"/>
  <c r="AU31" i="31" s="1"/>
  <c r="AU17" i="31"/>
  <c r="AF45" i="39" l="1"/>
  <c r="AF50" i="31"/>
  <c r="AW13" i="31"/>
  <c r="AW10" i="31"/>
  <c r="AW12" i="31"/>
  <c r="AW15" i="31"/>
  <c r="AW11" i="31"/>
  <c r="AW7" i="31"/>
  <c r="AW9" i="31"/>
  <c r="AV17" i="31"/>
  <c r="AV24" i="31"/>
  <c r="AV31" i="31" s="1"/>
  <c r="AV27" i="31"/>
  <c r="AV34" i="31" s="1"/>
  <c r="AV21" i="31"/>
  <c r="AW19" i="31" l="1"/>
  <c r="AX11" i="31"/>
  <c r="AG45" i="39"/>
  <c r="AG50" i="31"/>
  <c r="AX10" i="31"/>
  <c r="AW18" i="31"/>
  <c r="AW27" i="31"/>
  <c r="AW21" i="31"/>
  <c r="AX13" i="31"/>
  <c r="AW17" i="31"/>
  <c r="AX9" i="31"/>
  <c r="AW24" i="31"/>
  <c r="AX12" i="31"/>
  <c r="AX26" i="31" s="1"/>
  <c r="AY33" i="31" s="1"/>
  <c r="AW20" i="31"/>
  <c r="AX20" i="31" s="1"/>
  <c r="F38" i="52" l="1"/>
  <c r="AX17" i="31"/>
  <c r="F39" i="52"/>
  <c r="AX18" i="31"/>
  <c r="AW31" i="31"/>
  <c r="AX24" i="31"/>
  <c r="E57" i="31"/>
  <c r="F41" i="52"/>
  <c r="AX21" i="31"/>
  <c r="AH45" i="39"/>
  <c r="AH50" i="31"/>
  <c r="AW34" i="31"/>
  <c r="AX27" i="31"/>
  <c r="AY28" i="31" s="1"/>
  <c r="E60" i="31"/>
  <c r="M4" i="30" s="1"/>
  <c r="AX19" i="31"/>
  <c r="F40" i="52"/>
  <c r="AW25" i="31"/>
  <c r="AW32" i="31" l="1"/>
  <c r="AX25" i="31"/>
  <c r="E58" i="31"/>
  <c r="M11" i="30" s="1"/>
  <c r="AX34" i="31"/>
  <c r="AY34" i="31" s="1"/>
  <c r="E66" i="31"/>
  <c r="M25" i="30" s="1"/>
  <c r="AI45" i="39"/>
  <c r="AI50" i="31"/>
  <c r="M5" i="30"/>
  <c r="AX31" i="31"/>
  <c r="AY31" i="31" s="1"/>
  <c r="E63" i="31"/>
  <c r="M26" i="30" s="1"/>
  <c r="M13" i="30" l="1"/>
  <c r="M8" i="30"/>
  <c r="E73" i="31"/>
  <c r="E75" i="31" s="1"/>
  <c r="M28" i="30"/>
  <c r="E64" i="31"/>
  <c r="M31" i="30" s="1"/>
  <c r="AX32" i="31"/>
  <c r="AY32" i="31" s="1"/>
  <c r="AJ45" i="39"/>
  <c r="AJ50" i="31"/>
  <c r="L64" i="44"/>
  <c r="AK50" i="31" l="1"/>
  <c r="AL45" i="39" s="1"/>
  <c r="AK45" i="39"/>
  <c r="M36" i="30"/>
  <c r="F37" i="54" s="1"/>
  <c r="M33" i="30"/>
  <c r="M111" i="30"/>
  <c r="L125" i="30"/>
  <c r="M50" i="30"/>
  <c r="K125" i="30"/>
  <c r="M89" i="30"/>
  <c r="L66" i="44"/>
  <c r="N66" i="44" s="1"/>
  <c r="N64" i="44"/>
  <c r="L70" i="44"/>
  <c r="M114" i="30" l="1"/>
  <c r="N33" i="30"/>
  <c r="M90" i="30"/>
  <c r="N8" i="30"/>
  <c r="N21" i="30"/>
  <c r="N6" i="30"/>
  <c r="N41" i="30"/>
  <c r="N27" i="30"/>
  <c r="N7" i="30"/>
  <c r="N32" i="30"/>
  <c r="J21" i="48"/>
  <c r="N45" i="30"/>
  <c r="R23" i="44"/>
  <c r="K7" i="44" s="1"/>
  <c r="N12" i="30"/>
  <c r="N47" i="30"/>
  <c r="N46" i="30"/>
  <c r="M57" i="30"/>
  <c r="N10" i="30"/>
  <c r="N30" i="30"/>
  <c r="N4" i="30"/>
  <c r="N5" i="30"/>
  <c r="N11" i="30"/>
  <c r="N26" i="30"/>
  <c r="N25" i="30"/>
  <c r="L72" i="44"/>
  <c r="N72" i="44" s="1"/>
  <c r="O72" i="44" s="1"/>
  <c r="N70" i="44"/>
  <c r="O70" i="44" s="1"/>
  <c r="L77" i="44"/>
  <c r="L79" i="44" s="1"/>
  <c r="K17" i="44" s="1"/>
  <c r="J26" i="48" s="1"/>
  <c r="M117" i="30"/>
  <c r="N31" i="30"/>
  <c r="N13" i="30"/>
  <c r="N28" i="30"/>
  <c r="AL42" i="31" l="1"/>
  <c r="AL49" i="31" s="1"/>
  <c r="AO42" i="31"/>
  <c r="AO49" i="31" s="1"/>
  <c r="F38" i="54"/>
  <c r="AN42" i="31"/>
  <c r="AN49" i="31" s="1"/>
  <c r="AU42" i="31"/>
  <c r="AU49" i="31" s="1"/>
  <c r="AW42" i="31"/>
  <c r="AW49" i="31" s="1"/>
  <c r="AP42" i="31"/>
  <c r="AP49" i="31" s="1"/>
  <c r="AT42" i="31"/>
  <c r="AT49" i="31" s="1"/>
  <c r="AQ42" i="31"/>
  <c r="AQ49" i="31" s="1"/>
  <c r="AS42" i="31"/>
  <c r="AS49" i="31" s="1"/>
  <c r="AR42" i="31"/>
  <c r="AR49" i="31" s="1"/>
  <c r="AM42" i="31"/>
  <c r="AM49" i="31" s="1"/>
  <c r="M44" i="30"/>
  <c r="AV42" i="31"/>
  <c r="AV49" i="31" s="1"/>
  <c r="N44" i="30" l="1"/>
  <c r="M48" i="30"/>
  <c r="H54" i="31"/>
  <c r="AL50" i="31"/>
  <c r="AM50" i="31" s="1"/>
  <c r="AN45" i="39" l="1"/>
  <c r="AN50" i="31"/>
  <c r="AM45" i="39"/>
  <c r="N48" i="30"/>
  <c r="M51" i="30"/>
  <c r="M53" i="30" s="1"/>
  <c r="AO50" i="31" l="1"/>
  <c r="AO45" i="39"/>
  <c r="M55" i="30"/>
  <c r="R24" i="44"/>
  <c r="J22" i="48"/>
  <c r="AP45" i="39" l="1"/>
  <c r="AP50" i="31"/>
  <c r="AQ45" i="39" l="1"/>
  <c r="AQ50" i="31"/>
  <c r="AR45" i="39" l="1"/>
  <c r="AR50" i="31"/>
  <c r="AS45" i="39" l="1"/>
  <c r="AS50" i="31"/>
  <c r="AT45" i="39" l="1"/>
  <c r="AT50" i="31"/>
  <c r="AU45" i="39" l="1"/>
  <c r="AU50" i="31"/>
  <c r="AV45" i="39" l="1"/>
  <c r="AV50" i="31"/>
  <c r="AW45" i="39" l="1"/>
  <c r="AW50" i="31"/>
  <c r="AX45" i="39" l="1"/>
  <c r="J33" i="39"/>
</calcChain>
</file>

<file path=xl/comments1.xml><?xml version="1.0" encoding="utf-8"?>
<comments xmlns="http://schemas.openxmlformats.org/spreadsheetml/2006/main">
  <authors>
    <author>Dana Willmer</author>
  </authors>
  <commentList>
    <comment ref="G3" authorId="0" shapeId="0">
      <text>
        <r>
          <rPr>
            <b/>
            <sz val="9"/>
            <color indexed="81"/>
            <rFont val="Tahoma"/>
            <family val="2"/>
          </rPr>
          <t>How many new customers do you anticipate adding in year 1?</t>
        </r>
      </text>
    </comment>
    <comment ref="H3" authorId="0" shapeId="0">
      <text>
        <r>
          <rPr>
            <b/>
            <sz val="9"/>
            <color indexed="81"/>
            <rFont val="Tahoma"/>
            <family val="2"/>
          </rPr>
          <t>How many new customers do you anticipate adding in year 2?</t>
        </r>
      </text>
    </comment>
    <comment ref="J3" authorId="0" shapeId="0">
      <text>
        <r>
          <rPr>
            <b/>
            <sz val="9"/>
            <color indexed="81"/>
            <rFont val="Tahoma"/>
            <family val="2"/>
          </rPr>
          <t>How many new customers do you anticipate adding in year 3?</t>
        </r>
      </text>
    </comment>
    <comment ref="K3" authorId="0" shapeId="0">
      <text>
        <r>
          <rPr>
            <b/>
            <sz val="9"/>
            <color indexed="81"/>
            <rFont val="Tahoma"/>
            <family val="2"/>
          </rPr>
          <t>How many new customers do you anticipate adding in year 14?</t>
        </r>
      </text>
    </comment>
    <comment ref="G7" authorId="0" shapeId="0">
      <text>
        <r>
          <rPr>
            <b/>
            <sz val="9"/>
            <color indexed="81"/>
            <rFont val="Tahoma"/>
            <family val="2"/>
          </rPr>
          <t>Given your customer add assumptions, what sales and marketing costs will you have, in year 1?</t>
        </r>
      </text>
    </comment>
    <comment ref="H7" authorId="0" shapeId="0">
      <text>
        <r>
          <rPr>
            <b/>
            <sz val="9"/>
            <color indexed="81"/>
            <rFont val="Tahoma"/>
            <family val="2"/>
          </rPr>
          <t>Given your customer add assumptions, what sales and marketing costs will you have, in year 2?</t>
        </r>
      </text>
    </comment>
    <comment ref="J7" authorId="0" shapeId="0">
      <text>
        <r>
          <rPr>
            <b/>
            <sz val="9"/>
            <color indexed="81"/>
            <rFont val="Tahoma"/>
            <family val="2"/>
          </rPr>
          <t>Given your customer add assumptions, what sales and marketing costs will you have, in year 3?</t>
        </r>
      </text>
    </comment>
    <comment ref="K7" authorId="0" shapeId="0">
      <text>
        <r>
          <rPr>
            <b/>
            <sz val="9"/>
            <color indexed="81"/>
            <rFont val="Tahoma"/>
            <family val="2"/>
          </rPr>
          <t>Given your customer add assumptions, what sales and marketing costs will you have, in year 4?</t>
        </r>
      </text>
    </comment>
    <comment ref="C8" authorId="0" shapeId="0">
      <text>
        <r>
          <rPr>
            <b/>
            <sz val="9"/>
            <color indexed="81"/>
            <rFont val="Tahoma"/>
            <family val="2"/>
          </rPr>
          <t>For new Azure deals, what do you expect to charge in terms of upfront implementation fees?</t>
        </r>
      </text>
    </comment>
    <comment ref="C9" authorId="0" shapeId="0">
      <text>
        <r>
          <rPr>
            <b/>
            <sz val="9"/>
            <color indexed="81"/>
            <rFont val="Tahoma"/>
            <family val="2"/>
          </rPr>
          <t>For new Azure deals, what do you expect to charge in terms of ongoing project fees, per year?</t>
        </r>
      </text>
    </comment>
    <comment ref="C10" authorId="0" shapeId="0">
      <text>
        <r>
          <rPr>
            <b/>
            <sz val="9"/>
            <color indexed="81"/>
            <rFont val="Tahoma"/>
            <family val="2"/>
          </rPr>
          <t>For new Azure deals, what do you expect to drive in terms of Azure consumption, per year?</t>
        </r>
      </text>
    </comment>
    <comment ref="C11" authorId="0" shapeId="0">
      <text>
        <r>
          <rPr>
            <b/>
            <sz val="9"/>
            <color indexed="81"/>
            <rFont val="Tahoma"/>
            <family val="2"/>
          </rPr>
          <t>For Azure deals, what do you expect to charge for your own IP, per customer per year?</t>
        </r>
      </text>
    </comment>
    <comment ref="G11" authorId="0" shapeId="0">
      <text>
        <r>
          <rPr>
            <b/>
            <sz val="9"/>
            <color indexed="81"/>
            <rFont val="Tahoma"/>
            <family val="2"/>
          </rPr>
          <t>Given your customer add assumptions, what incremental fixed investments will you have to make, in year 1?</t>
        </r>
      </text>
    </comment>
    <comment ref="H11" authorId="0" shapeId="0">
      <text>
        <r>
          <rPr>
            <b/>
            <sz val="9"/>
            <color indexed="81"/>
            <rFont val="Tahoma"/>
            <family val="2"/>
          </rPr>
          <t>Given your customer add assumptions, what incremental fixed investments will you have to make, in year 2?</t>
        </r>
      </text>
    </comment>
    <comment ref="J11" authorId="0" shapeId="0">
      <text>
        <r>
          <rPr>
            <b/>
            <sz val="9"/>
            <color indexed="81"/>
            <rFont val="Tahoma"/>
            <family val="2"/>
          </rPr>
          <t>Given your customer add assumptions, what incremental fixed investments will you have to make, in year 3?</t>
        </r>
      </text>
    </comment>
    <comment ref="K11" authorId="0" shapeId="0">
      <text>
        <r>
          <rPr>
            <b/>
            <sz val="9"/>
            <color indexed="81"/>
            <rFont val="Tahoma"/>
            <family val="2"/>
          </rPr>
          <t>Given your customer add assumptions, what incremental fixed investments will you have to make, in year 4?</t>
        </r>
      </text>
    </comment>
    <comment ref="C12" authorId="0" shapeId="0">
      <text>
        <r>
          <rPr>
            <b/>
            <sz val="9"/>
            <color indexed="81"/>
            <rFont val="Tahoma"/>
            <family val="2"/>
          </rPr>
          <t>When you provide a managed service alongside Azure, what will you charge the customer, per year?</t>
        </r>
      </text>
    </comment>
    <comment ref="K15" authorId="0" shapeId="0">
      <text>
        <r>
          <rPr>
            <b/>
            <sz val="9"/>
            <color indexed="81"/>
            <rFont val="Tahoma"/>
            <family val="2"/>
          </rPr>
          <t>From a valuation perspective, what do you consider an appropriate multiplier for recurring margin?</t>
        </r>
      </text>
    </comment>
    <comment ref="C16" authorId="0" shapeId="0">
      <text>
        <r>
          <rPr>
            <sz val="10"/>
            <color indexed="81"/>
            <rFont val="Tahoma"/>
            <family val="2"/>
          </rPr>
          <t>What is the expected margin to you from Microsoft on any Azure consumption you drive?</t>
        </r>
      </text>
    </comment>
    <comment ref="K16" authorId="0" shapeId="0">
      <text>
        <r>
          <rPr>
            <b/>
            <sz val="9"/>
            <color indexed="81"/>
            <rFont val="Tahoma"/>
            <family val="2"/>
          </rPr>
          <t>From a valuation perspective, what do you consider an appropriate multiplier for non-recurring margin?</t>
        </r>
      </text>
    </comment>
    <comment ref="C17" authorId="0" shapeId="0">
      <text>
        <r>
          <rPr>
            <b/>
            <sz val="9"/>
            <color indexed="81"/>
            <rFont val="Tahoma"/>
            <family val="2"/>
          </rPr>
          <t>What is your expected gross margin on any of your own IP that you sell on Azure?</t>
        </r>
      </text>
    </comment>
    <comment ref="C18" authorId="0" shapeId="0">
      <text>
        <r>
          <rPr>
            <b/>
            <sz val="9"/>
            <color indexed="81"/>
            <rFont val="Tahoma"/>
            <family val="2"/>
          </rPr>
          <t>What is your expected gross margin on project services?</t>
        </r>
      </text>
    </comment>
    <comment ref="C19" authorId="0" shapeId="0">
      <text>
        <r>
          <rPr>
            <b/>
            <sz val="9"/>
            <color indexed="81"/>
            <rFont val="Tahoma"/>
            <family val="2"/>
          </rPr>
          <t>What is your expected gross margin on project services?</t>
        </r>
      </text>
    </comment>
    <comment ref="G21" authorId="0" shapeId="0">
      <text>
        <r>
          <rPr>
            <b/>
            <sz val="9"/>
            <color indexed="81"/>
            <rFont val="Tahoma"/>
            <family val="2"/>
          </rPr>
          <t>What is the average fully loaded annual cost to you of a sales &amp; marketing resource?</t>
        </r>
      </text>
    </comment>
    <comment ref="C23" authorId="0" shapeId="0">
      <text>
        <r>
          <rPr>
            <b/>
            <sz val="9"/>
            <color indexed="81"/>
            <rFont val="Tahoma"/>
            <family val="2"/>
          </rPr>
          <t>What is the average fully loaded annual cost to you of a project services delivery resource?</t>
        </r>
      </text>
    </comment>
    <comment ref="C24" authorId="0" shapeId="0">
      <text>
        <r>
          <rPr>
            <b/>
            <sz val="9"/>
            <color indexed="81"/>
            <rFont val="Tahoma"/>
            <family val="2"/>
          </rPr>
          <t>What is the average fully loaded annual cost to you of a managed services delivery resource?</t>
        </r>
      </text>
    </comment>
    <comment ref="G91" authorId="0" shapeId="0">
      <text>
        <r>
          <rPr>
            <b/>
            <sz val="9"/>
            <color indexed="81"/>
            <rFont val="Tahoma"/>
            <family val="2"/>
          </rPr>
          <t>Given your customer add assumptions, what incremental marketing costs will you have, in year 1?</t>
        </r>
      </text>
    </comment>
    <comment ref="I91" authorId="0" shapeId="0">
      <text>
        <r>
          <rPr>
            <b/>
            <sz val="9"/>
            <color indexed="81"/>
            <rFont val="Tahoma"/>
            <family val="2"/>
          </rPr>
          <t>Given your customer add assumptions, what incremental marketing costs will you have, in year 2?</t>
        </r>
      </text>
    </comment>
    <comment ref="J91" authorId="0" shapeId="0">
      <text>
        <r>
          <rPr>
            <b/>
            <sz val="9"/>
            <color indexed="81"/>
            <rFont val="Tahoma"/>
            <family val="2"/>
          </rPr>
          <t>Given your customer add assumptions, what incremental marketing costs will you have, in year 3?</t>
        </r>
      </text>
    </comment>
    <comment ref="K91" authorId="0" shapeId="0">
      <text>
        <r>
          <rPr>
            <b/>
            <sz val="9"/>
            <color indexed="81"/>
            <rFont val="Tahoma"/>
            <family val="2"/>
          </rPr>
          <t>Given your customer add assumptions, what incremental marketing costs will you have, in year 4?</t>
        </r>
      </text>
    </comment>
    <comment ref="K94" authorId="0" shapeId="0">
      <text>
        <r>
          <rPr>
            <b/>
            <sz val="9"/>
            <color indexed="81"/>
            <rFont val="Tahoma"/>
            <family val="2"/>
          </rPr>
          <t>What will be the average size of each new deal sold, whether perpetual or subscription, in terms of users?</t>
        </r>
      </text>
    </comment>
    <comment ref="J96" authorId="0" shapeId="0">
      <text>
        <r>
          <rPr>
            <b/>
            <sz val="9"/>
            <color indexed="81"/>
            <rFont val="Tahoma"/>
            <family val="2"/>
          </rPr>
          <t>What arfe the expected incentives to you from Microsoft on any Azure consumption you drive? (note that the model assumes incentives last for 2 years only)</t>
        </r>
      </text>
    </comment>
  </commentList>
</comments>
</file>

<file path=xl/comments2.xml><?xml version="1.0" encoding="utf-8"?>
<comments xmlns="http://schemas.openxmlformats.org/spreadsheetml/2006/main">
  <authors>
    <author>Dana Willmer</author>
  </authors>
  <commentList>
    <comment ref="G4" authorId="0" shapeId="0">
      <text>
        <r>
          <rPr>
            <b/>
            <sz val="9"/>
            <color indexed="81"/>
            <rFont val="Tahoma"/>
            <family val="2"/>
          </rPr>
          <t>Given your current operating structure, what incremental G&amp;A costs (or cost reductions) do you anticipate in year 1, if any? Adjust this variable only if row 78 in the P&amp;L Shift tab seems inappropriate.</t>
        </r>
      </text>
    </comment>
    <comment ref="H4" authorId="0" shapeId="0">
      <text>
        <r>
          <rPr>
            <b/>
            <sz val="9"/>
            <color indexed="81"/>
            <rFont val="Tahoma"/>
            <family val="2"/>
          </rPr>
          <t>Given your current operating structure, what incremental G&amp;A costs (or cost reductions) do you anticipate in year 2, if any? Adjust this variable only if row 78 in the P&amp;L Shift tab seems inappropriate.</t>
        </r>
      </text>
    </comment>
    <comment ref="I4" authorId="0" shapeId="0">
      <text>
        <r>
          <rPr>
            <b/>
            <sz val="9"/>
            <color indexed="81"/>
            <rFont val="Tahoma"/>
            <family val="2"/>
          </rPr>
          <t>Given your current operating structure, what incremental G&amp;A costs (or cost reductions) do you anticipate in year 3, if any? Adjust this variable only if row 78 in the P&amp;L Shift tab seems inappropriate.</t>
        </r>
      </text>
    </comment>
    <comment ref="J4" authorId="0" shapeId="0">
      <text>
        <r>
          <rPr>
            <b/>
            <sz val="9"/>
            <color indexed="81"/>
            <rFont val="Tahoma"/>
            <family val="2"/>
          </rPr>
          <t>Given your current operating structure, what incremental G&amp;A costs (or cost reductions) do you anticipate in year 4, if any? Adjust this variable only if row 78 in the P&amp;L Shift tab seems inappropriate.</t>
        </r>
      </text>
    </comment>
    <comment ref="C5" authorId="0" shapeId="0">
      <text>
        <r>
          <rPr>
            <b/>
            <sz val="9"/>
            <color indexed="81"/>
            <rFont val="Tahoma"/>
            <family val="2"/>
          </rPr>
          <t>For every incremental new customer added, what will be the direct sales cost?</t>
        </r>
      </text>
    </comment>
    <comment ref="C6" authorId="0" shapeId="0">
      <text>
        <r>
          <rPr>
            <b/>
            <sz val="9"/>
            <color indexed="81"/>
            <rFont val="Tahoma"/>
            <family val="2"/>
          </rPr>
          <t>For every O365 seat you sell, what will be the direct sales cost?</t>
        </r>
      </text>
    </comment>
    <comment ref="C7" authorId="0" shapeId="0">
      <text>
        <r>
          <rPr>
            <b/>
            <sz val="9"/>
            <color indexed="81"/>
            <rFont val="Tahoma"/>
            <family val="2"/>
          </rPr>
          <t>For every customer subscribing to Dynamics, your own IP, O365, and/or Managed Services, what will be the ongoing annual sales cost?</t>
        </r>
      </text>
    </comment>
    <comment ref="G9" authorId="0" shapeId="0">
      <text>
        <r>
          <rPr>
            <b/>
            <sz val="9"/>
            <color indexed="81"/>
            <rFont val="Tahoma"/>
            <family val="2"/>
          </rPr>
          <t>For your subscription customer base overall, what will be the annual chrun rate? This must be expressed as a positive number (eg churn of 10% is 10%, not -10%)</t>
        </r>
      </text>
    </comment>
    <comment ref="C11" authorId="0" shapeId="0">
      <text>
        <r>
          <rPr>
            <b/>
            <sz val="9"/>
            <color indexed="81"/>
            <rFont val="Tahoma"/>
            <family val="2"/>
          </rPr>
          <t>For every incremental new customer added, what will be the direct marketing cost?</t>
        </r>
      </text>
    </comment>
    <comment ref="C12" authorId="0" shapeId="0">
      <text>
        <r>
          <rPr>
            <b/>
            <sz val="9"/>
            <color indexed="81"/>
            <rFont val="Tahoma"/>
            <family val="2"/>
          </rPr>
          <t>For every O365 seat you sell, what will be the direct marketing cost?</t>
        </r>
      </text>
    </comment>
    <comment ref="C13" authorId="0" shapeId="0">
      <text>
        <r>
          <rPr>
            <b/>
            <sz val="9"/>
            <color indexed="81"/>
            <rFont val="Tahoma"/>
            <family val="2"/>
          </rPr>
          <t>For every customer subscribing to Dynamics, your own IP, O365, and/or Managed Services, what will be the ongoing annual marketing cost?</t>
        </r>
      </text>
    </comment>
    <comment ref="C19" authorId="0" shapeId="0">
      <text>
        <r>
          <rPr>
            <b/>
            <sz val="9"/>
            <color indexed="81"/>
            <rFont val="Tahoma"/>
            <family val="2"/>
          </rPr>
          <t>When you sell O365 along with a Dynamics and/or own IP subscription, what will you charge to migrate the customer mailbox?</t>
        </r>
      </text>
    </comment>
    <comment ref="C20" authorId="0" shapeId="0">
      <text>
        <r>
          <rPr>
            <b/>
            <sz val="9"/>
            <color indexed="81"/>
            <rFont val="Tahoma"/>
            <family val="2"/>
          </rPr>
          <t>When you sell O365 along with a Dynamics and/or own IP subscription, what will be your cost to migrate the customer mailbox?</t>
        </r>
      </text>
    </comment>
    <comment ref="C38" authorId="0" shapeId="0">
      <text>
        <r>
          <rPr>
            <b/>
            <sz val="9"/>
            <color indexed="81"/>
            <rFont val="Tahoma"/>
            <family val="2"/>
          </rPr>
          <t>Can be either a positive or negative number, depending on anticipated impact.
This will decrease or increase all revenue and cost flows associated with the traditional business, including operating expenses.</t>
        </r>
      </text>
    </comment>
    <comment ref="C39" authorId="0" shapeId="0">
      <text>
        <r>
          <rPr>
            <b/>
            <sz val="9"/>
            <color indexed="81"/>
            <rFont val="Tahoma"/>
            <family val="2"/>
          </rPr>
          <t>Can be either a positive or negative number, depending on anticipated impact</t>
        </r>
      </text>
    </comment>
    <comment ref="G41" authorId="0" shapeId="0">
      <text>
        <r>
          <rPr>
            <b/>
            <sz val="9"/>
            <color indexed="81"/>
            <rFont val="Tahoma"/>
            <family val="2"/>
          </rPr>
          <t>For your O365 customer base only, what will be the annual chrun rate? This must be expressed as a positive number (eg churn of 10% is 10%, not -10%)</t>
        </r>
      </text>
    </comment>
  </commentList>
</comments>
</file>

<file path=xl/comments3.xml><?xml version="1.0" encoding="utf-8"?>
<comments xmlns="http://schemas.openxmlformats.org/spreadsheetml/2006/main">
  <authors>
    <author>Dana Willmer</author>
  </authors>
  <commentList>
    <comment ref="E37" authorId="0" shapeId="0">
      <text>
        <r>
          <rPr>
            <b/>
            <sz val="9"/>
            <color indexed="81"/>
            <rFont val="Tahoma"/>
            <family val="2"/>
          </rPr>
          <t>This number is a calculated value, based on other data entered. It may be changed, but with caution.</t>
        </r>
      </text>
    </comment>
    <comment ref="E38" authorId="0" shapeId="0">
      <text>
        <r>
          <rPr>
            <b/>
            <sz val="9"/>
            <color indexed="81"/>
            <rFont val="Tahoma"/>
            <family val="2"/>
          </rPr>
          <t>This number is a calculated value, based on other data entered. It may be changed, but with caution.</t>
        </r>
      </text>
    </comment>
  </commentList>
</comments>
</file>

<file path=xl/sharedStrings.xml><?xml version="1.0" encoding="utf-8"?>
<sst xmlns="http://schemas.openxmlformats.org/spreadsheetml/2006/main" count="573" uniqueCount="414">
  <si>
    <t>Direct Marketing Costs (excluding salaries)</t>
  </si>
  <si>
    <t>Total Revenues</t>
  </si>
  <si>
    <t>Total Expenses</t>
  </si>
  <si>
    <t>Operating Margin</t>
  </si>
  <si>
    <t>Year 2</t>
  </si>
  <si>
    <t>Year 3</t>
  </si>
  <si>
    <t>Year 4</t>
  </si>
  <si>
    <t>Year 1</t>
  </si>
  <si>
    <t>% of revenue</t>
  </si>
  <si>
    <t>per annum</t>
  </si>
  <si>
    <t>per user per month</t>
  </si>
  <si>
    <t>per new customer add</t>
  </si>
  <si>
    <t>year 2</t>
  </si>
  <si>
    <t>year 3</t>
  </si>
  <si>
    <t>year 4</t>
  </si>
  <si>
    <t>Operating Expenses</t>
  </si>
  <si>
    <t>total operating expenses</t>
  </si>
  <si>
    <t>Year</t>
  </si>
  <si>
    <t>Month</t>
  </si>
  <si>
    <t>Trailing</t>
  </si>
  <si>
    <t>Year 0</t>
  </si>
  <si>
    <t>n/a</t>
  </si>
  <si>
    <t>Ongoing Sales Costs</t>
  </si>
  <si>
    <t>Ongoing Marketing Costs</t>
  </si>
  <si>
    <t>R&amp;D Costs</t>
  </si>
  <si>
    <t>year 1</t>
  </si>
  <si>
    <t>Monthly Cumulative Cash Flow</t>
  </si>
  <si>
    <t>Cloud Migration Fees</t>
  </si>
  <si>
    <t>Cloud Migration Costs</t>
  </si>
  <si>
    <t>Sales Costs</t>
  </si>
  <si>
    <t>Marketing costs</t>
  </si>
  <si>
    <t>Customer Acquisition/Switching Costs (Sales)</t>
  </si>
  <si>
    <t>Customer Acquisition/Switching Costs (Marketing)</t>
  </si>
  <si>
    <t>totals</t>
  </si>
  <si>
    <t>Office 365 POR Fees (Advisor)</t>
  </si>
  <si>
    <t>Total O365 POR Fees (Advisor new adds, year 1)</t>
  </si>
  <si>
    <t>Total O365 POR Fees (Advisor trailing)</t>
  </si>
  <si>
    <t>Advisor Revenue</t>
  </si>
  <si>
    <t>Cash Flows</t>
  </si>
  <si>
    <t>per customer, per year</t>
  </si>
  <si>
    <t>Starting</t>
  </si>
  <si>
    <t>Ending</t>
  </si>
  <si>
    <t>total</t>
  </si>
  <si>
    <t>COGS</t>
  </si>
  <si>
    <t>OPEX</t>
  </si>
  <si>
    <t>Cloud Services</t>
  </si>
  <si>
    <t>Software Licenses (Own IP)</t>
  </si>
  <si>
    <t>O365-Related Migration Fees</t>
  </si>
  <si>
    <t>O365-Related Migration Costs</t>
  </si>
  <si>
    <t>3rd. Party Software</t>
  </si>
  <si>
    <t>Margin Structure</t>
  </si>
  <si>
    <t>p.a.</t>
  </si>
  <si>
    <t>users</t>
  </si>
  <si>
    <t>Office 365 Pricing</t>
  </si>
  <si>
    <t>Incremental Sales Fixed Costs</t>
  </si>
  <si>
    <t>Incremental Marketing Fixed Costs</t>
  </si>
  <si>
    <t>average customer</t>
  </si>
  <si>
    <t>O365 Attach Rate</t>
  </si>
  <si>
    <t>average Cloud FTE's loaded cost (professional services)</t>
  </si>
  <si>
    <t>average Cloud FTE's loaded cost (managed services)</t>
  </si>
  <si>
    <t>Monthly Cash Flow (Cloud)</t>
  </si>
  <si>
    <t>G &amp; A (inlcuding admin salaries)</t>
  </si>
  <si>
    <t>managed services revenue per user per month</t>
  </si>
  <si>
    <t>professional services revenue per customer per year</t>
  </si>
  <si>
    <t>Cloud Professional Services</t>
  </si>
  <si>
    <t>gross margin</t>
  </si>
  <si>
    <t>Cloud</t>
  </si>
  <si>
    <t>FTE's</t>
  </si>
  <si>
    <t>Incremental G&amp;A Costs (Cost Reductions)</t>
  </si>
  <si>
    <t>revenue</t>
  </si>
  <si>
    <t>Other</t>
  </si>
  <si>
    <t>Dynamics Perpetual Licenses</t>
  </si>
  <si>
    <t>Traditional Software</t>
  </si>
  <si>
    <t>Traditional Services</t>
  </si>
  <si>
    <t>Cloud Software</t>
  </si>
  <si>
    <t>Own IP Subscriptions</t>
  </si>
  <si>
    <t>Dynamics Subscriptions</t>
  </si>
  <si>
    <t>3rd. Party Subscriptions</t>
  </si>
  <si>
    <t>Hardware, etc.</t>
  </si>
  <si>
    <t>COGS (Other)</t>
  </si>
  <si>
    <t>Traditional Managed Services or Help Desk</t>
  </si>
  <si>
    <t>Traditional Professional Services</t>
  </si>
  <si>
    <t>Managed Services or Help Desk</t>
  </si>
  <si>
    <t>Other (Hardware, etc.)</t>
  </si>
  <si>
    <t>O365  Fee Structure</t>
  </si>
  <si>
    <t>Cloud Migration Fees (O365)</t>
  </si>
  <si>
    <t>New Customer Subscription Implementation Costs</t>
  </si>
  <si>
    <t>New Customer Adds (year 1)</t>
  </si>
  <si>
    <t>All Subscription Customers (year 2 onwards)</t>
  </si>
  <si>
    <t>New Customers with O365</t>
  </si>
  <si>
    <t>Total O365 Users</t>
  </si>
  <si>
    <t>New O365 Users Added</t>
  </si>
  <si>
    <t>Traditional P&amp;L Impact</t>
  </si>
  <si>
    <t>Traditional Software &amp; Services</t>
  </si>
  <si>
    <t>total cloud new customers added</t>
  </si>
  <si>
    <t>total cloud customers supported</t>
  </si>
  <si>
    <t>total cloud users supported</t>
  </si>
  <si>
    <t>Hardware</t>
  </si>
  <si>
    <t>Services/Software Ratio (Traditional)</t>
  </si>
  <si>
    <t>Services/Software Ratio (Cloud)</t>
  </si>
  <si>
    <t>Total Advisor Fees</t>
  </si>
  <si>
    <t>Mailbox Migration Fees</t>
  </si>
  <si>
    <t>Mailbox Migration Costs</t>
  </si>
  <si>
    <t>Services</t>
  </si>
  <si>
    <t>Software</t>
  </si>
  <si>
    <t>Slider Bar Calculations</t>
  </si>
  <si>
    <t>Managed Services Attach Rate</t>
  </si>
  <si>
    <t>Office 365 Retail Price to Customer</t>
  </si>
  <si>
    <t>Subscription Churn, per annum</t>
  </si>
  <si>
    <t>O365</t>
  </si>
  <si>
    <t>Managed Services</t>
  </si>
  <si>
    <t>Traditional Sales Costs (yr 0)</t>
  </si>
  <si>
    <t>Traditional Sales Cost Reduction</t>
  </si>
  <si>
    <t>Traditional Marketing Costs (yr 0)</t>
  </si>
  <si>
    <t>Traditional Marketing Costs Reduction</t>
  </si>
  <si>
    <t>G&amp;A Cost Reduction</t>
  </si>
  <si>
    <t>Own IP License Fee</t>
  </si>
  <si>
    <t>Variable Costs</t>
  </si>
  <si>
    <t>per user, one time</t>
  </si>
  <si>
    <t>Incremental Customer Add Direct Sales Costs</t>
  </si>
  <si>
    <t>Incremental Customer Add Direct Marketing Costs</t>
  </si>
  <si>
    <t>average yr 1 revenue</t>
  </si>
  <si>
    <t xml:space="preserve"> </t>
  </si>
  <si>
    <t>Non-Recurring</t>
  </si>
  <si>
    <t>Recurring</t>
  </si>
  <si>
    <t>OM</t>
  </si>
  <si>
    <t xml:space="preserve">O365 Adds (year 1) </t>
  </si>
  <si>
    <t>per O365 seat add</t>
  </si>
  <si>
    <t>Total Subscription Customers</t>
  </si>
  <si>
    <t>Valuation</t>
  </si>
  <si>
    <t>IRR</t>
  </si>
  <si>
    <t>O365 Churn, per annum</t>
  </si>
  <si>
    <t>IP Attach Rate</t>
  </si>
  <si>
    <t>To-Partner Margin Structure</t>
  </si>
  <si>
    <t>Azure</t>
  </si>
  <si>
    <t>New Customer Adds</t>
  </si>
  <si>
    <t>Total New Customers</t>
  </si>
  <si>
    <t>Total New Users</t>
  </si>
  <si>
    <t>Total New Customers with IP</t>
  </si>
  <si>
    <t>New Customer Implementation Revenue</t>
  </si>
  <si>
    <t>New Customer IP Revenue</t>
  </si>
  <si>
    <t>Total New Users with IP</t>
  </si>
  <si>
    <t>Total New Users with O365</t>
  </si>
  <si>
    <t>Total New Users with Managed Service</t>
  </si>
  <si>
    <t>Total New Customers with O365</t>
  </si>
  <si>
    <t>Total New Customers with Managed Service</t>
  </si>
  <si>
    <t>New Customer Managed Services Revenue</t>
  </si>
  <si>
    <t>New Customer Cloud Services Revenue</t>
  </si>
  <si>
    <t>New Customer Azure Revenue</t>
  </si>
  <si>
    <t>New Customer Implementation Costs</t>
  </si>
  <si>
    <t>New Customer IP Costs</t>
  </si>
  <si>
    <t>New Customer Managed Services Costs</t>
  </si>
  <si>
    <t>New Customer Cloud Services Costs</t>
  </si>
  <si>
    <t>New Customer Azure Costs</t>
  </si>
  <si>
    <t>Gross Margin (Managed Services)</t>
  </si>
  <si>
    <t>Azure Subscriptions</t>
  </si>
  <si>
    <t>Anticipated Azure Margin</t>
  </si>
  <si>
    <t>Azure Attach Rate</t>
  </si>
  <si>
    <t>Total New Customers with Azure</t>
  </si>
  <si>
    <t>Total New Users with Azure</t>
  </si>
  <si>
    <t>per customer per year</t>
  </si>
  <si>
    <t>Ongoing Services Attach Rate</t>
  </si>
  <si>
    <t>Total New Customers with Ongoing Cloud Service</t>
  </si>
  <si>
    <t>New Customer Ongoing Cloud Services Revenue</t>
  </si>
  <si>
    <t>New Customer Ongoing Cloud Services Costs</t>
  </si>
  <si>
    <t>Total New Users with Ongoing Cloud Service</t>
  </si>
  <si>
    <t>IP</t>
  </si>
  <si>
    <t>Project Services</t>
  </si>
  <si>
    <t>Anticipated Shareholder Value Created</t>
  </si>
  <si>
    <t>Professional Services</t>
  </si>
  <si>
    <t>Approximate Working Capital Required</t>
  </si>
  <si>
    <t>Yr 1 revenue</t>
  </si>
  <si>
    <t>Azure Consumption (per year)</t>
  </si>
  <si>
    <t>Revenue</t>
  </si>
  <si>
    <t>total FTE's deployed (professional services)</t>
  </si>
  <si>
    <t>total FTE's deployed (managed services)</t>
  </si>
  <si>
    <t>Average Deal Size (Users)</t>
  </si>
  <si>
    <t>Contribution Margin</t>
  </si>
  <si>
    <t>Other Fixed Investments</t>
  </si>
  <si>
    <t>Customer Acquisition Costs</t>
  </si>
  <si>
    <t>Managed Services Fees</t>
  </si>
  <si>
    <t>Gross Margin (Project Services)</t>
  </si>
  <si>
    <t>Margin</t>
  </si>
  <si>
    <t>Anticipated Valuation Impact</t>
  </si>
  <si>
    <t>Upfront Project Services Fees</t>
  </si>
  <si>
    <t>Ongoing Project Services Fees</t>
  </si>
  <si>
    <t>P&amp;L Impact</t>
  </si>
  <si>
    <t>Systems Integration</t>
  </si>
  <si>
    <t>Data Center Migration</t>
  </si>
  <si>
    <t>Data Cube Construction</t>
  </si>
  <si>
    <t>Data Architecture Design</t>
  </si>
  <si>
    <t>User Experience Consulting</t>
  </si>
  <si>
    <t>Virtualization Migration &amp; Deployment</t>
  </si>
  <si>
    <t>Data Center Performance Monitoring &amp; Optimization</t>
  </si>
  <si>
    <t>Turnkey BI Portals</t>
  </si>
  <si>
    <t>Automated Load Balancing</t>
  </si>
  <si>
    <t>Industry-specific Mobile Apps</t>
  </si>
  <si>
    <t>Industry-specific Workflows</t>
  </si>
  <si>
    <t>Automated Disaster Recovery Testing</t>
  </si>
  <si>
    <t>Online Training &amp; Self-paced Learning</t>
  </si>
  <si>
    <t>Automated Data Migration &amp; Integration</t>
  </si>
  <si>
    <t>Virtualization Support &amp; Efficiency Optimization</t>
  </si>
  <si>
    <t>Proof of Concept</t>
  </si>
  <si>
    <t>Automated Monitoring, Alerting, &amp; Logging</t>
  </si>
  <si>
    <t>3rd. Party Application Management</t>
  </si>
  <si>
    <t>Workload Performance Monitoring</t>
  </si>
  <si>
    <t>Azure Consumption Monitoring &amp; Optimization</t>
  </si>
  <si>
    <t>Virtualization</t>
  </si>
  <si>
    <t>Solution Analysis, Scope, &amp; Design</t>
  </si>
  <si>
    <t>Custom Application Development</t>
  </si>
  <si>
    <t>Data Warehousing Deployment</t>
  </si>
  <si>
    <t>Backup &amp; Storage Deployment</t>
  </si>
  <si>
    <t>Disaster Recovery Deployment</t>
  </si>
  <si>
    <t>Workflow Creation in SharePoint</t>
  </si>
  <si>
    <t>Database Infrastructure Development</t>
  </si>
  <si>
    <t>Training</t>
  </si>
  <si>
    <t>Proactive Backups &amp; Anti-Virus Monitoring</t>
  </si>
  <si>
    <t>Update &amp; Patch Management</t>
  </si>
  <si>
    <t>New Accounts Added &amp; Removed</t>
  </si>
  <si>
    <t>Desktop &amp; Device Management &amp; Support</t>
  </si>
  <si>
    <t>Hybrid Environment Support (Basic Infrastructure)</t>
  </si>
  <si>
    <t>Critical Response Support</t>
  </si>
  <si>
    <t>Virtual Machine Management &amp; Upgrading</t>
  </si>
  <si>
    <t>Security Management &amp; Identity Protection</t>
  </si>
  <si>
    <t>Virtual Database Administration</t>
  </si>
  <si>
    <t>Hosted Line Of Business Applications</t>
  </si>
  <si>
    <t>Automated Consumption Monitoring &amp; Reporting</t>
  </si>
  <si>
    <t>Customer Self-Serve Portals</t>
  </si>
  <si>
    <t>Vertical Solution Subscriptions</t>
  </si>
  <si>
    <t>Automated Backups &amp; Disaster Recovery</t>
  </si>
  <si>
    <t>Potential Project Services</t>
  </si>
  <si>
    <t>Potential Managed Services</t>
  </si>
  <si>
    <t>Office Client Connectivity</t>
  </si>
  <si>
    <t>Microsoft support (interface between MSFT &amp; customer)</t>
  </si>
  <si>
    <t>Network Monitoring (including disk size &amp; comms monitoring)</t>
  </si>
  <si>
    <t>Potential Intellectual Property</t>
  </si>
  <si>
    <t>Anticipated Azure Incentives</t>
  </si>
  <si>
    <t>Exchange &amp; Mailbox Migration</t>
  </si>
  <si>
    <t>Simple File Server Migration</t>
  </si>
  <si>
    <t>User Rights &amp; Account Management</t>
  </si>
  <si>
    <t>Domain Management</t>
  </si>
  <si>
    <t>Single Sign-On Management</t>
  </si>
  <si>
    <t>Managed Access to Email Groups</t>
  </si>
  <si>
    <t>Anticipated IP Gross Margin</t>
  </si>
  <si>
    <t>Step 1 - Set Deal Structure</t>
  </si>
  <si>
    <t>Step 2 - Set Margin Structure</t>
  </si>
  <si>
    <t>Step 3 - Set Resource Costs</t>
  </si>
  <si>
    <t>Step 4 - Set Customer Adds</t>
  </si>
  <si>
    <t>Step 7 - IP Attach Rate</t>
  </si>
  <si>
    <t>Step 8 - Set Managed Services Attach Rate</t>
  </si>
  <si>
    <t>New Customer Azure Incentives</t>
  </si>
  <si>
    <t>Step 5 - Set Customer Acquisition &amp; Retention Costs (Sales &amp; Marketing)</t>
  </si>
  <si>
    <t>Step 6 - Set Other Fixed Investments (R&amp;D, Training, Other Infrastructure, G&amp;A)</t>
  </si>
  <si>
    <t>Recurring Multiplier</t>
  </si>
  <si>
    <t>Non-Recurring Multiplier</t>
  </si>
  <si>
    <t>Contribution Margin ($)</t>
  </si>
  <si>
    <t>Contribution Margin (%)</t>
  </si>
  <si>
    <t>Gross Margin (%)</t>
  </si>
  <si>
    <t>Sales &amp; Marketing</t>
  </si>
  <si>
    <t>Azure Financial Model</t>
  </si>
  <si>
    <t>Remediation</t>
  </si>
  <si>
    <t>Yammer</t>
  </si>
  <si>
    <t>Performance and Application Troubleshooting</t>
  </si>
  <si>
    <t>Reports &amp; View Adjustments</t>
  </si>
  <si>
    <t>Web defense (restricting url’s, phishing malware, spam)</t>
  </si>
  <si>
    <t>VoIP Maintenance</t>
  </si>
  <si>
    <t>Regulatory Compliance via O365 Infrastructure</t>
  </si>
  <si>
    <t>Application Lifecycle Management &amp; Support (design, development, testing, production, errors corrections, updates, new versions)</t>
  </si>
  <si>
    <t>Disaster Recovery Monitoring &amp; Testing</t>
  </si>
  <si>
    <t>Active Directory Federation &amp; Management</t>
  </si>
  <si>
    <t>Middleware for Hybrid Synchronization</t>
  </si>
  <si>
    <t>Automated O365 Telemetry (Availability &amp; Performance)</t>
  </si>
  <si>
    <t>Office Connectivity &amp; Other Plug-Ins &amp; Add-ons</t>
  </si>
  <si>
    <t>External Portals for End Customer Information</t>
  </si>
  <si>
    <t>Pre-Configured Dashboards</t>
  </si>
  <si>
    <t>Model Variable</t>
  </si>
  <si>
    <t>Variable Definition</t>
  </si>
  <si>
    <t>Typical Range</t>
  </si>
  <si>
    <t>The average amount you expect to charge the customer in upfront implementation fees for every new deal you do.</t>
  </si>
  <si>
    <t>Will vary widely depending on local market circumstances, as well as size, scope, and complexity of implementation. Simple migrations to O365 can be as low as $5k, while complex migrations to Azure can be as high as $500k.</t>
  </si>
  <si>
    <r>
      <t>The average amount you expect to charge the customer every year for any ongoing project work (</t>
    </r>
    <r>
      <rPr>
        <u/>
        <sz val="10"/>
        <color theme="1"/>
        <rFont val="Segoe UI"/>
        <family val="2"/>
      </rPr>
      <t>excluding</t>
    </r>
    <r>
      <rPr>
        <sz val="10"/>
        <color theme="1"/>
        <rFont val="Segoe UI"/>
        <family val="2"/>
      </rPr>
      <t xml:space="preserve"> managed services).</t>
    </r>
  </si>
  <si>
    <r>
      <t xml:space="preserve">Will vary widely depending on the nature of the initial project, and whether a phased approach is taken. Research has shown that anywhere from 10% to 100% of initial project fees may be charged on an ongoing basis. Note that this is </t>
    </r>
    <r>
      <rPr>
        <u/>
        <sz val="10"/>
        <color theme="1"/>
        <rFont val="Segoe UI"/>
        <family val="2"/>
      </rPr>
      <t>not</t>
    </r>
    <r>
      <rPr>
        <sz val="10"/>
        <color theme="1"/>
        <rFont val="Segoe UI"/>
        <family val="2"/>
      </rPr>
      <t xml:space="preserve"> the same as managed services fees, which are contracted rather than project-based.</t>
    </r>
  </si>
  <si>
    <t>The average amount you expect to expect to drive in terms of Azure consumption, per year, for every new deal you do.</t>
  </si>
  <si>
    <t>Will vary widely depending on the size of the customer and what is being supported on Azure. Could be anywhere from a few thousand dollars per year (or less), to several hundred thousand.</t>
  </si>
  <si>
    <t>The average amount you expect to charge the customer (per user per month) for any of your own IP that you attach, bundle, or embed with O365 or CRM online.</t>
  </si>
  <si>
    <t>Will vary widely depending on the nature of the IP you develop, the market you operate in, and the IP’s utility to the customer. Could be as low as a few dollars a month, to several hundred.</t>
  </si>
  <si>
    <t>The average amount you expect to charge the customer for any managed services you provide.</t>
  </si>
  <si>
    <t>Will vary widely depending on the market you operate in, and the composition of your managed service offering. Could be as low as $10-$15 per user per month, to several thousand dollars per customer per year.</t>
  </si>
  <si>
    <t>Azure Margin &amp; Incentives</t>
  </si>
  <si>
    <t>The expected margin to you from any Azure consumption you drive.</t>
  </si>
  <si>
    <t>Typically 10% - 20%</t>
  </si>
  <si>
    <t>The expected gross margin you will achieve any project services you deliver to the customer (this should be based on your historical project services gross margin, unless you anticipate it to change).</t>
  </si>
  <si>
    <t>Will vary depending on local market circumstances, and management effectiveness in managing utilization. Typically ranges anywhere from 10% to 40%.</t>
  </si>
  <si>
    <t>The expected gross margin you will achieve any managed services you deliver to the customer (this should be based on your historical managed services gross margin, unless you anticipate it to change, and will often be different from your project services gross margin).</t>
  </si>
  <si>
    <t>Will vary depending on local market circumstances, and management effectiveness in managing utilization. Typically ranges anywhere from 10% to 50%.</t>
  </si>
  <si>
    <t>Anticipated IP Margin</t>
  </si>
  <si>
    <t>The expected gross margin you will achieve any of your own IP that you deliver to the customer (this should be based on your historical IP gross margin, if available).</t>
  </si>
  <si>
    <t>Will vary depending on the development leverage gained from working with customers who fund the initial development, but can be as high as 70% to 90% in some cases.</t>
  </si>
  <si>
    <t>Project Services Resource Cost</t>
  </si>
  <si>
    <t>The average fully loaded annual cost to you of a project services delivery resource (salary, benefits, and bonuses).</t>
  </si>
  <si>
    <t>Will vary widely depending on the local economy, labor market circumstances, skillset needed, and degree of outsourcing. Could be anywhere from $20k to $150k per year.</t>
  </si>
  <si>
    <t>Managed Services Resource Cost</t>
  </si>
  <si>
    <t>The average fully loaded annual cost to you of a managed services delivery resource (salary, benefits, and bonuses).</t>
  </si>
  <si>
    <t>Will vary widely depending on the local economy, labor market circumstances, skillset needed, and degree of outsourcing. Typically, however, these resources are less costly than project services resources.</t>
  </si>
  <si>
    <t>Customer Acquisition Resource Cost</t>
  </si>
  <si>
    <t>The average fully loaded annual cost to you for sales and marketing resources that result in customer acquisition (salary, benefits, and bonuses).</t>
  </si>
  <si>
    <t>Customer Adds</t>
  </si>
  <si>
    <t>The amount of new customers you will add in each of years 1 through 4 (note that these are additive, not cumulative)</t>
  </si>
  <si>
    <t>Will vary depending on how aggressive a Partner is in pursuing in pursuing the Cloud opportunity, and the customer segment targeted. Could be anywhere from 5-10 per year, to several hundred.</t>
  </si>
  <si>
    <t>Customer Acquisition &amp; Retention Costs</t>
  </si>
  <si>
    <t>Given your customer add assumptions for each year, the amount you will spend on sales and marketing costs in each of years 1 through 4.</t>
  </si>
  <si>
    <t>Will vary widely depending on market segment targeted, and pre-existing sales and marketing capabilities. As a rule of thumb and best practice, however, a Partner should conservatively assume a customer acquisition cost of 20%-25% of first year’s revenue.</t>
  </si>
  <si>
    <t>Given your Cloud offering and existing resource pool, the amount you will need to invest in training, R&amp;D, demand generation and other infrastructure in each of years 1 through 4.</t>
  </si>
  <si>
    <t>Will vary widely depending on whether a Partner “re-skills” an existing resource pool versus net new hiring, whether IP is developed and bundled into the Cloud offering, and what incremental marketing and sales infrastructure investments are needed to achieve the desired customer adds.</t>
  </si>
  <si>
    <t>The percentage of new customers and users added that you expect to subscribe to your managed service offering, mentioned above.</t>
  </si>
  <si>
    <t>Will vary widely depending on the composition of the managed service, the customer segment targeted, and the degree to which it is “bundled” into the Cloud offering. Could be literally anywhere from 0%-90% or higher.</t>
  </si>
  <si>
    <t>The percentage of new customers and users added that you expect to license your own IP, mentioned above.</t>
  </si>
  <si>
    <t>Will vary widely depending on the nature and utility of the IP, and the degree to which it is “bundled” into the Cloud offering. Could be literally anywhere from 0%-90% or higher.</t>
  </si>
  <si>
    <t>Recurring Margin Multiplier</t>
  </si>
  <si>
    <t>From a valuation perspective, the amount a potential buyer would consider an appropriate multiplier for recurring margin in your local market (based on research, 5 is a conservative assumption, but change this assumption if you feel it is not representative of buyers in your local market).</t>
  </si>
  <si>
    <t>Typically 4-7</t>
  </si>
  <si>
    <t>Non-Recurring Margin Multiplier</t>
  </si>
  <si>
    <t>From a valuation perspective, the amount a potential buyer would consider an appropriate multiplier for non-recurring margin in your local market (based on research, 1.5 is a conservative assumption, but change this assumption if you feel it is not representative of buyers in your local market).</t>
  </si>
  <si>
    <t>Typically 1-3</t>
  </si>
  <si>
    <t>Office 365</t>
  </si>
  <si>
    <t>Step 9 - Set Customer Acquisition Resource Costs</t>
  </si>
  <si>
    <t>Step 10 - Set Recurring Margin Multiplier Assumptions</t>
  </si>
  <si>
    <t>Power BI</t>
  </si>
  <si>
    <t>Collect Data &amp; Monitor Assets (IoT)</t>
  </si>
  <si>
    <t>Enterprise Web &amp; Mobile Apps</t>
  </si>
  <si>
    <t>Data Center Transformation</t>
  </si>
  <si>
    <t>Storage, Backup, &amp; Recovery</t>
  </si>
  <si>
    <t>Big Data &amp; Predictive Analytics</t>
  </si>
  <si>
    <t>Website Hosting</t>
  </si>
  <si>
    <t>$5,000 - $15,000</t>
  </si>
  <si>
    <t>$2,500 - $25,000</t>
  </si>
  <si>
    <t>$2,500 - $10,000</t>
  </si>
  <si>
    <t>$2,500 - $15,000</t>
  </si>
  <si>
    <t>$2,500 - $7,500</t>
  </si>
  <si>
    <t>$10,000 - $75,000</t>
  </si>
  <si>
    <t>$20,000 - $50,000</t>
  </si>
  <si>
    <t>Average Total Project Services Revenue Range</t>
  </si>
  <si>
    <t>$2,500 - $5,000</t>
  </si>
  <si>
    <t>$15,000 - $50,000</t>
  </si>
  <si>
    <t>$45,000 - $75,000</t>
  </si>
  <si>
    <t>$75,000 - $150,000</t>
  </si>
  <si>
    <t>$2,000 - $5,000</t>
  </si>
  <si>
    <t>Average Total Managed Services Revenue Range</t>
  </si>
  <si>
    <t>Reactive Help Desk Support (Office, Lync, Intune, CRM Online)</t>
  </si>
  <si>
    <t>Software Asset Management (licensing management &amp; optimization)</t>
  </si>
  <si>
    <t>Average Total Intellectual Property Revenue Range</t>
  </si>
  <si>
    <t>SharePoint-Based Vertical Workflows</t>
  </si>
  <si>
    <t>Function-specific Workflows (e.g. HR, Procurement)</t>
  </si>
  <si>
    <t>Hosting</t>
  </si>
  <si>
    <t>EDU</t>
  </si>
  <si>
    <t>$25,000 - $100,000</t>
  </si>
  <si>
    <t>Desktop Virtualization</t>
  </si>
  <si>
    <t>Mobile Device Connectivity &amp; Management</t>
  </si>
  <si>
    <t>e-Commerce functionality</t>
  </si>
  <si>
    <t>Windows &amp; Devices</t>
  </si>
  <si>
    <t>Deployment Services</t>
  </si>
  <si>
    <t>Web-Based Management Tool Consolidation</t>
  </si>
  <si>
    <t>Performance Monitoring and Reporting</t>
  </si>
  <si>
    <t>Troubleshooting</t>
  </si>
  <si>
    <t>Configuration Management</t>
  </si>
  <si>
    <t>Reports and Dashboard Maintenance</t>
  </si>
  <si>
    <t>Anti-Virus Monitoring</t>
  </si>
  <si>
    <t>Help Desk Support</t>
  </si>
  <si>
    <t>Identity as a Service</t>
  </si>
  <si>
    <t xml:space="preserve">Cross Platform </t>
  </si>
  <si>
    <t>Microsoft Dynamics</t>
  </si>
  <si>
    <t>Identity/Access Management (EMS)</t>
  </si>
  <si>
    <t>Azure Remote App</t>
  </si>
  <si>
    <t>Cloud Voice Deployment &amp; Management (SMB)</t>
  </si>
  <si>
    <t>Cloud Voice Deployment &amp; Management (CA)</t>
  </si>
  <si>
    <t>Cloud Voice Deployment &amp; Management (Ent)</t>
  </si>
  <si>
    <t>CRM Online- Sales Automation</t>
  </si>
  <si>
    <t>CRM Online- Services Automation</t>
  </si>
  <si>
    <t>Dynamics AX</t>
  </si>
  <si>
    <t>$10,000 - $25,000</t>
  </si>
  <si>
    <t>$25,000 - $75,000</t>
  </si>
  <si>
    <t>$75,000 - $200,000</t>
  </si>
  <si>
    <t>$200,000-$1.5M</t>
  </si>
  <si>
    <t>Cloud Readiness Assessment</t>
  </si>
  <si>
    <t>Solution Configuration/Customization</t>
  </si>
  <si>
    <t>Solution Support &amp; Training</t>
  </si>
  <si>
    <t>Surface Hub Device</t>
  </si>
  <si>
    <t xml:space="preserve">Cloud Migration Planning </t>
  </si>
  <si>
    <t>Health Checks</t>
  </si>
  <si>
    <t>App Virtualization</t>
  </si>
  <si>
    <t>Communications Envision Workshop</t>
  </si>
  <si>
    <t>Network readiness assessment</t>
  </si>
  <si>
    <t>Bandwidth Planning</t>
  </si>
  <si>
    <t>Business Use Case Workshop</t>
  </si>
  <si>
    <t>Communications Architecture Design</t>
  </si>
  <si>
    <t>Adoption Services</t>
  </si>
  <si>
    <t>User Enablement</t>
  </si>
  <si>
    <t>Office Client Deployment</t>
  </si>
  <si>
    <t>Device Procurement and Deployment</t>
  </si>
  <si>
    <t>Deployment Validation</t>
  </si>
  <si>
    <t>Network Remediation</t>
  </si>
  <si>
    <t>Voice Planning - Dial plans, number porting</t>
  </si>
  <si>
    <t>On Premise PSTN Connectivity planning</t>
  </si>
  <si>
    <t>Cloud Connector Edition Planning and Deployment</t>
  </si>
  <si>
    <t>Business Process Transformation</t>
  </si>
  <si>
    <t>PowerShell Script Automation</t>
  </si>
  <si>
    <t>Application Support/Help Desk</t>
  </si>
  <si>
    <t>Social  Listening and Sentiment Analysis</t>
  </si>
  <si>
    <t>Support Services</t>
  </si>
  <si>
    <t>Online Training and Self Paced learning</t>
  </si>
  <si>
    <t>Reporting and Analytics</t>
  </si>
  <si>
    <t>$75,000-$200,000</t>
  </si>
  <si>
    <t>Vertical specific functionality</t>
  </si>
  <si>
    <t>Mobility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</si>
</sst>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Red]\-&quot;$&quot;#,##0"/>
    <numFmt numFmtId="165" formatCode="_-* #,##0.00_-;\-* #,##0.00_-;_-* &quot;-&quot;??_-;_-@_-"/>
    <numFmt numFmtId="166" formatCode="&quot;$&quot;#,##0"/>
    <numFmt numFmtId="167" formatCode="0.0%"/>
    <numFmt numFmtId="168" formatCode="0.0"/>
    <numFmt numFmtId="169" formatCode="#,##0_ ;[Red]\-#,##0\ "/>
    <numFmt numFmtId="170" formatCode="&quot;$&quot;#,##0.00"/>
    <numFmt numFmtId="171" formatCode="#,##0.0"/>
    <numFmt numFmtId="172" formatCode="&quot;$&quot;#,##0.000"/>
    <numFmt numFmtId="173" formatCode="&quot;$&quot;#,##0.000000000"/>
    <numFmt numFmtId="174" formatCode="#,##0.0_ ;[Red]\-#,##0.0\ "/>
    <numFmt numFmtId="175" formatCode="0.0000"/>
    <numFmt numFmtId="176" formatCode="#,##0.000"/>
    <numFmt numFmtId="177" formatCode="[$€-2]\ #,##0"/>
    <numFmt numFmtId="178" formatCode="[$€-2]\ #,##0.00"/>
    <numFmt numFmtId="179" formatCode="#,##0.0000"/>
    <numFmt numFmtId="180" formatCode="0.000%"/>
    <numFmt numFmtId="181" formatCode="&quot;$&quot;#,##0.0"/>
    <numFmt numFmtId="182" formatCode="[$$-409]#,##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color rgb="FFFF0000"/>
      <name val="Calibri"/>
      <family val="2"/>
    </font>
    <font>
      <sz val="11"/>
      <name val="Calibri"/>
      <family val="2"/>
      <scheme val="minor"/>
    </font>
    <font>
      <b/>
      <sz val="14"/>
      <name val="Calibri"/>
      <family val="2"/>
      <scheme val="minor"/>
    </font>
    <font>
      <b/>
      <sz val="11"/>
      <name val="Calibri"/>
      <family val="2"/>
      <scheme val="minor"/>
    </font>
    <font>
      <b/>
      <sz val="11"/>
      <color theme="0"/>
      <name val="Calibri"/>
      <family val="2"/>
      <scheme val="minor"/>
    </font>
    <font>
      <b/>
      <sz val="11"/>
      <color theme="0"/>
      <name val="Calibri"/>
      <family val="2"/>
    </font>
    <font>
      <b/>
      <sz val="11"/>
      <name val="Calibri"/>
      <family val="2"/>
    </font>
    <font>
      <b/>
      <sz val="9"/>
      <color indexed="81"/>
      <name val="Tahoma"/>
      <family val="2"/>
    </font>
    <font>
      <b/>
      <sz val="12"/>
      <color theme="0"/>
      <name val="Calibri"/>
      <family val="2"/>
      <scheme val="minor"/>
    </font>
    <font>
      <b/>
      <sz val="11"/>
      <color theme="0"/>
      <name val="Segoe UI"/>
      <family val="2"/>
    </font>
    <font>
      <sz val="10"/>
      <color theme="1"/>
      <name val="Segoe UI"/>
      <family val="2"/>
    </font>
    <font>
      <b/>
      <sz val="10"/>
      <color theme="1"/>
      <name val="Segoe UI"/>
      <family val="2"/>
    </font>
    <font>
      <sz val="11"/>
      <color theme="1"/>
      <name val="Segoe UI"/>
      <family val="2"/>
    </font>
    <font>
      <b/>
      <sz val="11"/>
      <color theme="1"/>
      <name val="Segoe UI"/>
      <family val="2"/>
    </font>
    <font>
      <b/>
      <sz val="10"/>
      <color theme="0"/>
      <name val="Segoe UI"/>
      <family val="2"/>
    </font>
    <font>
      <sz val="10"/>
      <color rgb="FFFF0000"/>
      <name val="Segoe UI"/>
      <family val="2"/>
    </font>
    <font>
      <b/>
      <sz val="10"/>
      <name val="Segoe UI"/>
      <family val="2"/>
    </font>
    <font>
      <sz val="10"/>
      <color theme="0"/>
      <name val="Segoe UI"/>
      <family val="2"/>
    </font>
    <font>
      <sz val="10"/>
      <name val="Segoe UI"/>
      <family val="2"/>
    </font>
    <font>
      <sz val="14"/>
      <color theme="1"/>
      <name val="Segoe UI"/>
      <family val="2"/>
    </font>
    <font>
      <sz val="10"/>
      <color indexed="81"/>
      <name val="Tahoma"/>
      <family val="2"/>
    </font>
    <font>
      <b/>
      <sz val="14"/>
      <color theme="0"/>
      <name val="Segoe UI"/>
      <family val="2"/>
    </font>
    <font>
      <sz val="10"/>
      <color rgb="FF000000"/>
      <name val="Segoe UI"/>
      <family val="2"/>
    </font>
    <font>
      <u/>
      <sz val="10"/>
      <color theme="1"/>
      <name val="Segoe UI"/>
      <family val="2"/>
    </font>
    <font>
      <i/>
      <sz val="11"/>
      <color theme="1"/>
      <name val="Segoe UI"/>
      <family val="2"/>
    </font>
    <font>
      <b/>
      <i/>
      <sz val="11"/>
      <color theme="1"/>
      <name val="Segoe UI"/>
      <family val="2"/>
    </font>
    <font>
      <i/>
      <sz val="11"/>
      <name val="Segoe UI"/>
      <family val="2"/>
    </font>
    <font>
      <sz val="11"/>
      <color rgb="FFFF0000"/>
      <name val="Segoe UI"/>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rgb="FF3399FF"/>
        <bgColor indexed="64"/>
      </patternFill>
    </fill>
    <fill>
      <patternFill patternType="solid">
        <fgColor rgb="FF000000"/>
        <bgColor indexed="64"/>
      </patternFill>
    </fill>
    <fill>
      <patternFill patternType="solid">
        <fgColor rgb="FF00B0F0"/>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op>
      <bottom/>
      <diagonal/>
    </border>
    <border>
      <left style="thin">
        <color theme="0"/>
      </left>
      <right/>
      <top/>
      <bottom style="thin">
        <color indexed="64"/>
      </bottom>
      <diagonal/>
    </border>
    <border>
      <left style="thin">
        <color theme="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348">
    <xf numFmtId="0" fontId="0" fillId="0" borderId="0" xfId="0"/>
    <xf numFmtId="166" fontId="0" fillId="0" borderId="0" xfId="0" applyNumberFormat="1"/>
    <xf numFmtId="166" fontId="0" fillId="0" borderId="1" xfId="0" applyNumberFormat="1" applyBorder="1"/>
    <xf numFmtId="0" fontId="6" fillId="3" borderId="0" xfId="0" applyFont="1" applyFill="1"/>
    <xf numFmtId="0" fontId="8" fillId="3" borderId="0" xfId="0" applyFont="1" applyFill="1"/>
    <xf numFmtId="3" fontId="6" fillId="3" borderId="0" xfId="0" applyNumberFormat="1" applyFont="1" applyFill="1"/>
    <xf numFmtId="166" fontId="6" fillId="3" borderId="0" xfId="0" applyNumberFormat="1" applyFont="1" applyFill="1"/>
    <xf numFmtId="1" fontId="6" fillId="3" borderId="0" xfId="0" applyNumberFormat="1" applyFont="1" applyFill="1"/>
    <xf numFmtId="2" fontId="6" fillId="3" borderId="0" xfId="0" applyNumberFormat="1" applyFont="1" applyFill="1"/>
    <xf numFmtId="0" fontId="8" fillId="3" borderId="0" xfId="0" applyFont="1" applyFill="1" applyAlignment="1">
      <alignment horizontal="right"/>
    </xf>
    <xf numFmtId="3" fontId="8" fillId="3" borderId="0" xfId="0" applyNumberFormat="1" applyFont="1" applyFill="1"/>
    <xf numFmtId="0" fontId="0" fillId="0" borderId="0" xfId="0" applyFill="1"/>
    <xf numFmtId="0" fontId="0" fillId="0" borderId="0" xfId="0" applyFont="1" applyBorder="1"/>
    <xf numFmtId="3" fontId="6" fillId="0" borderId="0" xfId="0" applyNumberFormat="1" applyFont="1" applyFill="1"/>
    <xf numFmtId="0" fontId="0" fillId="0" borderId="0" xfId="0" applyProtection="1"/>
    <xf numFmtId="0" fontId="0" fillId="0" borderId="5" xfId="0" applyBorder="1" applyAlignment="1" applyProtection="1">
      <alignment horizontal="right"/>
    </xf>
    <xf numFmtId="0" fontId="0" fillId="0" borderId="8" xfId="0" applyBorder="1" applyProtection="1"/>
    <xf numFmtId="0" fontId="4" fillId="0" borderId="5" xfId="0" applyFont="1" applyBorder="1" applyAlignment="1" applyProtection="1">
      <alignment horizontal="right"/>
    </xf>
    <xf numFmtId="0" fontId="4" fillId="0" borderId="0" xfId="0" applyFont="1" applyBorder="1" applyProtection="1"/>
    <xf numFmtId="0" fontId="4" fillId="0" borderId="7" xfId="0" applyFont="1" applyBorder="1" applyAlignment="1" applyProtection="1">
      <alignment horizontal="right"/>
    </xf>
    <xf numFmtId="0" fontId="4" fillId="0" borderId="6" xfId="0" applyFont="1" applyBorder="1" applyProtection="1"/>
    <xf numFmtId="0" fontId="4" fillId="0" borderId="8" xfId="0" applyFont="1" applyBorder="1" applyProtection="1"/>
    <xf numFmtId="0" fontId="0" fillId="0" borderId="0" xfId="0" applyAlignment="1" applyProtection="1">
      <alignment horizontal="right"/>
    </xf>
    <xf numFmtId="0" fontId="3" fillId="0" borderId="0" xfId="0" applyFont="1" applyBorder="1" applyAlignment="1" applyProtection="1">
      <alignment horizontal="center" vertical="center"/>
    </xf>
    <xf numFmtId="0" fontId="6" fillId="0" borderId="0" xfId="0" applyFont="1" applyFill="1"/>
    <xf numFmtId="166" fontId="6" fillId="0" borderId="0" xfId="0" applyNumberFormat="1" applyFont="1" applyFill="1"/>
    <xf numFmtId="0" fontId="0" fillId="0" borderId="0" xfId="0" applyFill="1" applyBorder="1" applyProtection="1"/>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0" fillId="0" borderId="5" xfId="0" applyBorder="1" applyAlignment="1" applyProtection="1">
      <alignment horizontal="center"/>
    </xf>
    <xf numFmtId="3" fontId="0" fillId="0" borderId="0" xfId="0" applyNumberFormat="1"/>
    <xf numFmtId="3" fontId="6" fillId="0" borderId="0" xfId="0" applyNumberFormat="1" applyFont="1" applyFill="1" applyAlignment="1">
      <alignment horizontal="right"/>
    </xf>
    <xf numFmtId="0" fontId="0" fillId="0" borderId="0" xfId="0" applyFill="1" applyBorder="1" applyAlignment="1" applyProtection="1">
      <alignment horizontal="left"/>
    </xf>
    <xf numFmtId="0" fontId="3" fillId="0" borderId="0" xfId="0" applyFont="1"/>
    <xf numFmtId="0" fontId="3" fillId="0" borderId="0" xfId="0" applyFont="1" applyAlignment="1">
      <alignment horizontal="right"/>
    </xf>
    <xf numFmtId="0" fontId="0" fillId="0" borderId="0" xfId="0" applyFill="1" applyBorder="1" applyAlignment="1" applyProtection="1">
      <alignment horizontal="right"/>
    </xf>
    <xf numFmtId="166" fontId="0" fillId="0" borderId="0" xfId="0" applyNumberFormat="1" applyFill="1"/>
    <xf numFmtId="166" fontId="0" fillId="0" borderId="1" xfId="0" applyNumberFormat="1" applyFill="1" applyBorder="1"/>
    <xf numFmtId="172" fontId="0" fillId="0" borderId="0" xfId="0" applyNumberFormat="1"/>
    <xf numFmtId="173" fontId="0" fillId="0" borderId="0" xfId="0" applyNumberFormat="1"/>
    <xf numFmtId="0" fontId="11" fillId="0" borderId="0" xfId="0" applyFont="1" applyFill="1" applyBorder="1" applyAlignment="1" applyProtection="1">
      <alignment horizontal="right" vertical="center" wrapText="1"/>
    </xf>
    <xf numFmtId="168" fontId="0" fillId="0" borderId="0" xfId="0" applyNumberFormat="1"/>
    <xf numFmtId="166" fontId="0" fillId="0" borderId="0" xfId="0" applyNumberFormat="1" applyProtection="1"/>
    <xf numFmtId="164" fontId="0" fillId="0" borderId="0" xfId="0" applyNumberFormat="1" applyProtection="1"/>
    <xf numFmtId="167" fontId="0" fillId="0" borderId="6" xfId="1" applyNumberFormat="1" applyFont="1" applyBorder="1" applyAlignment="1" applyProtection="1">
      <alignment horizontal="center"/>
    </xf>
    <xf numFmtId="0" fontId="3" fillId="0" borderId="0" xfId="0" applyFont="1" applyAlignment="1" applyProtection="1">
      <alignment horizontal="right" vertical="center"/>
    </xf>
    <xf numFmtId="0" fontId="10" fillId="4" borderId="9" xfId="0" applyFont="1" applyFill="1" applyBorder="1" applyAlignment="1" applyProtection="1">
      <alignment horizontal="center"/>
    </xf>
    <xf numFmtId="0" fontId="3" fillId="0" borderId="0" xfId="0" applyFont="1" applyFill="1" applyBorder="1" applyAlignment="1" applyProtection="1">
      <alignment horizontal="center" vertical="center"/>
    </xf>
    <xf numFmtId="9" fontId="5" fillId="0" borderId="7" xfId="1" applyFont="1" applyFill="1" applyBorder="1" applyAlignment="1" applyProtection="1">
      <alignment horizontal="center"/>
      <protection locked="0"/>
    </xf>
    <xf numFmtId="9" fontId="5" fillId="0" borderId="8" xfId="1" applyFont="1" applyFill="1" applyBorder="1" applyAlignment="1" applyProtection="1">
      <alignment horizontal="center"/>
      <protection locked="0"/>
    </xf>
    <xf numFmtId="166" fontId="6" fillId="0" borderId="0" xfId="0" applyNumberFormat="1" applyFont="1" applyFill="1" applyAlignment="1">
      <alignment horizontal="right"/>
    </xf>
    <xf numFmtId="176" fontId="6" fillId="3" borderId="0" xfId="0" applyNumberFormat="1" applyFont="1" applyFill="1"/>
    <xf numFmtId="167" fontId="6" fillId="3" borderId="0" xfId="1" applyNumberFormat="1" applyFont="1" applyFill="1"/>
    <xf numFmtId="4" fontId="6" fillId="3" borderId="0" xfId="0" applyNumberFormat="1" applyFont="1" applyFill="1"/>
    <xf numFmtId="0" fontId="0" fillId="0" borderId="6" xfId="0" applyBorder="1" applyProtection="1"/>
    <xf numFmtId="166" fontId="0" fillId="0" borderId="6" xfId="0" applyNumberFormat="1" applyBorder="1" applyAlignment="1" applyProtection="1">
      <alignment horizontal="left" vertical="center"/>
    </xf>
    <xf numFmtId="0" fontId="0" fillId="2" borderId="0" xfId="0" applyFill="1" applyBorder="1" applyProtection="1"/>
    <xf numFmtId="0" fontId="3" fillId="2" borderId="0" xfId="0" applyFont="1" applyFill="1" applyBorder="1" applyProtection="1"/>
    <xf numFmtId="0" fontId="3" fillId="2" borderId="0" xfId="0" applyFont="1" applyFill="1" applyBorder="1" applyAlignment="1" applyProtection="1">
      <alignment horizontal="right"/>
    </xf>
    <xf numFmtId="177" fontId="2" fillId="7" borderId="0" xfId="0" applyNumberFormat="1" applyFont="1" applyFill="1" applyBorder="1" applyAlignment="1" applyProtection="1">
      <alignment horizontal="center"/>
      <protection locked="0"/>
    </xf>
    <xf numFmtId="177" fontId="2" fillId="7" borderId="1" xfId="0" applyNumberFormat="1" applyFont="1" applyFill="1" applyBorder="1" applyAlignment="1" applyProtection="1">
      <alignment horizontal="center"/>
      <protection locked="0"/>
    </xf>
    <xf numFmtId="177" fontId="5" fillId="0" borderId="1" xfId="0" applyNumberFormat="1" applyFont="1" applyFill="1" applyBorder="1" applyAlignment="1" applyProtection="1">
      <alignment horizontal="center"/>
      <protection locked="0"/>
    </xf>
    <xf numFmtId="177" fontId="5" fillId="0" borderId="8" xfId="0" applyNumberFormat="1" applyFont="1" applyFill="1" applyBorder="1" applyAlignment="1" applyProtection="1">
      <alignment horizontal="center"/>
      <protection locked="0"/>
    </xf>
    <xf numFmtId="177" fontId="0" fillId="2" borderId="0" xfId="0" applyNumberFormat="1" applyFill="1" applyAlignment="1" applyProtection="1">
      <alignment horizontal="center" vertical="center"/>
    </xf>
    <xf numFmtId="177" fontId="3" fillId="2" borderId="0" xfId="0" applyNumberFormat="1" applyFont="1" applyFill="1" applyProtection="1"/>
    <xf numFmtId="4" fontId="6" fillId="0" borderId="0" xfId="0" applyNumberFormat="1" applyFont="1" applyFill="1" applyAlignment="1">
      <alignment horizontal="right"/>
    </xf>
    <xf numFmtId="166" fontId="6" fillId="3" borderId="0" xfId="0" applyNumberFormat="1" applyFont="1" applyFill="1" applyAlignment="1">
      <alignment horizontal="right"/>
    </xf>
    <xf numFmtId="166" fontId="2" fillId="7" borderId="0" xfId="0" applyNumberFormat="1" applyFont="1" applyFill="1" applyBorder="1" applyAlignment="1" applyProtection="1">
      <alignment horizontal="center"/>
      <protection locked="0"/>
    </xf>
    <xf numFmtId="168" fontId="6" fillId="3" borderId="0" xfId="0" applyNumberFormat="1" applyFont="1" applyFill="1"/>
    <xf numFmtId="0" fontId="14" fillId="0" borderId="0" xfId="0" applyFont="1" applyFill="1" applyAlignment="1"/>
    <xf numFmtId="176" fontId="6" fillId="0" borderId="0" xfId="0" applyNumberFormat="1" applyFont="1" applyFill="1" applyAlignment="1">
      <alignment horizontal="right"/>
    </xf>
    <xf numFmtId="9" fontId="6" fillId="3" borderId="0" xfId="1" applyNumberFormat="1" applyFont="1" applyFill="1"/>
    <xf numFmtId="176" fontId="0" fillId="0" borderId="0" xfId="0" applyNumberFormat="1"/>
    <xf numFmtId="179" fontId="6" fillId="0" borderId="0" xfId="0" applyNumberFormat="1" applyFont="1" applyFill="1" applyAlignment="1">
      <alignment horizontal="right"/>
    </xf>
    <xf numFmtId="0" fontId="0" fillId="0" borderId="0" xfId="0" applyFill="1" applyProtection="1"/>
    <xf numFmtId="177" fontId="2" fillId="8" borderId="0" xfId="0" applyNumberFormat="1" applyFont="1" applyFill="1" applyBorder="1" applyAlignment="1" applyProtection="1">
      <alignment horizontal="center" vertical="center"/>
      <protection locked="0"/>
    </xf>
    <xf numFmtId="10" fontId="6" fillId="3" borderId="0" xfId="1" applyNumberFormat="1" applyFont="1" applyFill="1"/>
    <xf numFmtId="180" fontId="6" fillId="3" borderId="0" xfId="1" applyNumberFormat="1" applyFont="1" applyFill="1"/>
    <xf numFmtId="9" fontId="5" fillId="0" borderId="4" xfId="1" applyFont="1" applyFill="1" applyBorder="1" applyAlignment="1" applyProtection="1">
      <alignment horizontal="center"/>
      <protection locked="0"/>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10" fillId="4" borderId="2" xfId="0" applyFont="1" applyFill="1" applyBorder="1" applyAlignment="1" applyProtection="1">
      <alignment horizontal="center"/>
    </xf>
    <xf numFmtId="0" fontId="10" fillId="4" borderId="3" xfId="0" applyFont="1" applyFill="1" applyBorder="1" applyAlignment="1" applyProtection="1">
      <alignment horizontal="center"/>
    </xf>
    <xf numFmtId="0" fontId="10" fillId="4" borderId="4" xfId="0" applyFont="1" applyFill="1" applyBorder="1" applyAlignment="1" applyProtection="1">
      <alignment horizontal="center"/>
    </xf>
    <xf numFmtId="0" fontId="14" fillId="4" borderId="0" xfId="0" applyFont="1" applyFill="1" applyAlignment="1">
      <alignment horizontal="right"/>
    </xf>
    <xf numFmtId="0" fontId="4" fillId="0" borderId="0" xfId="0" applyFont="1" applyBorder="1" applyAlignment="1" applyProtection="1">
      <alignment horizontal="right"/>
    </xf>
    <xf numFmtId="9" fontId="5" fillId="0" borderId="0" xfId="1" applyFont="1" applyFill="1" applyBorder="1" applyAlignment="1" applyProtection="1">
      <alignment horizontal="center"/>
      <protection locked="0"/>
    </xf>
    <xf numFmtId="0" fontId="4" fillId="0" borderId="0" xfId="0" applyFont="1" applyFill="1" applyBorder="1" applyAlignment="1" applyProtection="1">
      <alignment horizontal="right"/>
    </xf>
    <xf numFmtId="0" fontId="3" fillId="0" borderId="0" xfId="0" applyFont="1" applyFill="1" applyBorder="1" applyAlignment="1" applyProtection="1">
      <alignment horizontal="right" vertical="center"/>
    </xf>
    <xf numFmtId="167" fontId="0" fillId="0" borderId="0" xfId="1" applyNumberFormat="1" applyFont="1" applyFill="1" applyBorder="1" applyAlignment="1" applyProtection="1">
      <alignment horizontal="center" vertical="center"/>
    </xf>
    <xf numFmtId="0" fontId="17" fillId="0" borderId="0" xfId="0" applyFont="1"/>
    <xf numFmtId="0" fontId="18" fillId="0" borderId="0" xfId="0" applyFont="1"/>
    <xf numFmtId="0" fontId="17" fillId="0" borderId="0" xfId="0" applyFont="1" applyFill="1"/>
    <xf numFmtId="0" fontId="18" fillId="0" borderId="0" xfId="0" applyFont="1" applyFill="1"/>
    <xf numFmtId="0" fontId="16" fillId="0" borderId="0" xfId="0" applyFont="1"/>
    <xf numFmtId="0" fontId="16" fillId="0" borderId="0" xfId="0" applyFont="1" applyAlignment="1">
      <alignment textRotation="45" wrapText="1"/>
    </xf>
    <xf numFmtId="0" fontId="15" fillId="0" borderId="0" xfId="0" applyFont="1" applyProtection="1"/>
    <xf numFmtId="0" fontId="15" fillId="0" borderId="0" xfId="0" applyFont="1" applyFill="1" applyProtection="1"/>
    <xf numFmtId="0" fontId="19" fillId="0" borderId="0" xfId="0" applyFont="1" applyFill="1" applyBorder="1" applyAlignment="1" applyProtection="1">
      <alignment horizontal="center"/>
    </xf>
    <xf numFmtId="0" fontId="15" fillId="0" borderId="5" xfId="0" applyFont="1" applyBorder="1" applyAlignment="1" applyProtection="1">
      <alignment horizontal="right"/>
    </xf>
    <xf numFmtId="166" fontId="20" fillId="0" borderId="6" xfId="0" applyNumberFormat="1" applyFont="1" applyFill="1" applyBorder="1" applyAlignment="1" applyProtection="1">
      <alignment horizontal="center" vertical="center"/>
      <protection locked="0"/>
    </xf>
    <xf numFmtId="177" fontId="20" fillId="0" borderId="0" xfId="0" applyNumberFormat="1" applyFont="1" applyFill="1" applyBorder="1" applyAlignment="1" applyProtection="1">
      <alignment horizontal="center" vertical="center"/>
    </xf>
    <xf numFmtId="9" fontId="20" fillId="0" borderId="6" xfId="1" applyNumberFormat="1" applyFont="1" applyFill="1" applyBorder="1" applyAlignment="1" applyProtection="1">
      <alignment horizontal="center" vertical="center"/>
      <protection locked="0"/>
    </xf>
    <xf numFmtId="9" fontId="20" fillId="0" borderId="0" xfId="1" applyNumberFormat="1" applyFont="1" applyFill="1" applyBorder="1" applyAlignment="1" applyProtection="1">
      <alignment horizontal="center" vertical="center"/>
    </xf>
    <xf numFmtId="166" fontId="20" fillId="0" borderId="6" xfId="1" applyNumberFormat="1" applyFont="1" applyFill="1" applyBorder="1" applyAlignment="1" applyProtection="1">
      <alignment horizontal="center"/>
      <protection locked="0"/>
    </xf>
    <xf numFmtId="177" fontId="20" fillId="0" borderId="0" xfId="1" applyNumberFormat="1" applyFont="1" applyFill="1" applyBorder="1" applyAlignment="1" applyProtection="1">
      <alignment horizontal="center"/>
    </xf>
    <xf numFmtId="9" fontId="20" fillId="0" borderId="6" xfId="1" applyNumberFormat="1" applyFont="1" applyFill="1" applyBorder="1" applyAlignment="1" applyProtection="1">
      <alignment horizontal="center"/>
      <protection locked="0"/>
    </xf>
    <xf numFmtId="9" fontId="20" fillId="0" borderId="0" xfId="1" applyNumberFormat="1" applyFont="1" applyFill="1" applyBorder="1" applyAlignment="1" applyProtection="1">
      <alignment horizontal="center"/>
    </xf>
    <xf numFmtId="0" fontId="15" fillId="0" borderId="1" xfId="0" applyFont="1" applyBorder="1" applyAlignment="1" applyProtection="1">
      <alignment horizontal="right"/>
    </xf>
    <xf numFmtId="9" fontId="20" fillId="0" borderId="8" xfId="1" applyNumberFormat="1" applyFont="1" applyFill="1" applyBorder="1" applyAlignment="1" applyProtection="1">
      <alignment horizontal="center"/>
      <protection locked="0"/>
    </xf>
    <xf numFmtId="0" fontId="15" fillId="0" borderId="7" xfId="0" applyFont="1" applyBorder="1" applyAlignment="1" applyProtection="1">
      <alignment horizontal="right"/>
    </xf>
    <xf numFmtId="166" fontId="20" fillId="0" borderId="8"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xf>
    <xf numFmtId="0" fontId="21" fillId="0" borderId="0" xfId="0" applyFont="1" applyFill="1" applyBorder="1" applyAlignment="1" applyProtection="1">
      <alignment horizontal="center" vertical="center" textRotation="90"/>
    </xf>
    <xf numFmtId="0" fontId="21" fillId="0" borderId="0" xfId="0" applyFont="1" applyAlignment="1" applyProtection="1">
      <alignment horizontal="center" vertical="center" textRotation="90"/>
    </xf>
    <xf numFmtId="0" fontId="20" fillId="0" borderId="8"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6" fillId="0" borderId="14" xfId="0" applyFont="1" applyBorder="1" applyAlignment="1" applyProtection="1">
      <alignment horizontal="center"/>
    </xf>
    <xf numFmtId="0" fontId="16" fillId="0" borderId="3" xfId="0" applyFont="1" applyBorder="1" applyAlignment="1" applyProtection="1">
      <alignment horizontal="center"/>
    </xf>
    <xf numFmtId="0" fontId="16" fillId="0" borderId="4" xfId="0" applyFont="1" applyBorder="1" applyAlignment="1" applyProtection="1">
      <alignment horizontal="center"/>
    </xf>
    <xf numFmtId="0" fontId="15" fillId="0" borderId="0" xfId="0" applyFont="1" applyBorder="1" applyProtection="1"/>
    <xf numFmtId="0" fontId="19" fillId="0" borderId="0" xfId="0" applyFont="1" applyFill="1" applyBorder="1" applyAlignment="1" applyProtection="1">
      <alignment horizontal="center" vertical="center" wrapText="1"/>
    </xf>
    <xf numFmtId="177" fontId="20" fillId="0" borderId="0" xfId="0" applyNumberFormat="1" applyFont="1" applyFill="1" applyBorder="1" applyAlignment="1" applyProtection="1">
      <alignment horizontal="center"/>
    </xf>
    <xf numFmtId="166" fontId="20" fillId="0" borderId="0" xfId="0" applyNumberFormat="1" applyFont="1" applyFill="1" applyBorder="1" applyAlignment="1" applyProtection="1">
      <alignment horizontal="center"/>
    </xf>
    <xf numFmtId="0" fontId="15" fillId="0" borderId="0" xfId="0" applyFont="1" applyFill="1" applyBorder="1" applyProtection="1"/>
    <xf numFmtId="166" fontId="20" fillId="0" borderId="8" xfId="1" applyNumberFormat="1"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xf>
    <xf numFmtId="0" fontId="15" fillId="0" borderId="0" xfId="0" applyFont="1" applyAlignment="1" applyProtection="1">
      <alignment horizontal="center"/>
    </xf>
    <xf numFmtId="0" fontId="19" fillId="0" borderId="0" xfId="0" applyFont="1" applyFill="1" applyBorder="1" applyAlignment="1" applyProtection="1"/>
    <xf numFmtId="0" fontId="20" fillId="0" borderId="6" xfId="0" applyFont="1" applyFill="1" applyBorder="1" applyAlignment="1" applyProtection="1">
      <alignment horizontal="center" vertical="center"/>
      <protection locked="0"/>
    </xf>
    <xf numFmtId="9" fontId="15" fillId="0" borderId="0" xfId="1" applyFont="1" applyAlignment="1" applyProtection="1">
      <alignment horizontal="left"/>
    </xf>
    <xf numFmtId="0" fontId="16" fillId="0" borderId="0" xfId="0" applyFont="1" applyFill="1" applyBorder="1" applyAlignment="1" applyProtection="1">
      <alignment horizontal="right"/>
    </xf>
    <xf numFmtId="168" fontId="16" fillId="0" borderId="0" xfId="0" applyNumberFormat="1" applyFont="1" applyFill="1" applyBorder="1" applyAlignment="1" applyProtection="1">
      <alignment horizontal="center"/>
    </xf>
    <xf numFmtId="177" fontId="16" fillId="0" borderId="0" xfId="0" applyNumberFormat="1" applyFont="1" applyFill="1" applyBorder="1" applyAlignment="1" applyProtection="1">
      <alignment horizontal="center"/>
    </xf>
    <xf numFmtId="0" fontId="15" fillId="0" borderId="0" xfId="2" applyNumberFormat="1" applyFont="1" applyAlignment="1" applyProtection="1">
      <alignment horizontal="left"/>
    </xf>
    <xf numFmtId="0" fontId="15" fillId="0" borderId="0" xfId="0" applyFont="1" applyAlignment="1" applyProtection="1">
      <alignment horizontal="left"/>
    </xf>
    <xf numFmtId="166" fontId="15" fillId="2" borderId="6" xfId="0" applyNumberFormat="1" applyFont="1" applyFill="1" applyBorder="1" applyAlignment="1" applyProtection="1">
      <alignment horizontal="center"/>
    </xf>
    <xf numFmtId="177" fontId="15" fillId="0" borderId="0" xfId="0" applyNumberFormat="1" applyFont="1" applyProtection="1"/>
    <xf numFmtId="166" fontId="15" fillId="2" borderId="8" xfId="0" applyNumberFormat="1" applyFont="1" applyFill="1" applyBorder="1" applyAlignment="1" applyProtection="1">
      <alignment horizontal="center"/>
    </xf>
    <xf numFmtId="0" fontId="16" fillId="0" borderId="0" xfId="0" applyFont="1" applyFill="1" applyAlignment="1" applyProtection="1">
      <alignment horizontal="right" vertical="center"/>
    </xf>
    <xf numFmtId="167" fontId="15" fillId="0" borderId="0" xfId="1" applyNumberFormat="1" applyFont="1" applyFill="1" applyAlignment="1" applyProtection="1">
      <alignment horizontal="center"/>
    </xf>
    <xf numFmtId="0" fontId="15" fillId="0" borderId="0" xfId="0" applyFont="1" applyAlignment="1" applyProtection="1">
      <alignment horizontal="right"/>
    </xf>
    <xf numFmtId="166" fontId="15" fillId="0" borderId="0" xfId="0" applyNumberFormat="1" applyFont="1" applyProtection="1"/>
    <xf numFmtId="164" fontId="15" fillId="0" borderId="0" xfId="0" applyNumberFormat="1" applyFont="1" applyProtection="1"/>
    <xf numFmtId="0" fontId="15" fillId="0" borderId="0" xfId="0" applyFont="1" applyBorder="1" applyAlignment="1" applyProtection="1">
      <alignment horizontal="center"/>
    </xf>
    <xf numFmtId="0" fontId="15" fillId="0" borderId="0" xfId="0" applyFont="1" applyBorder="1" applyAlignment="1" applyProtection="1">
      <alignment horizontal="center"/>
      <protection locked="0"/>
    </xf>
    <xf numFmtId="0" fontId="15" fillId="0" borderId="0" xfId="0" applyFont="1" applyFill="1" applyBorder="1" applyAlignment="1" applyProtection="1">
      <alignment horizontal="center"/>
    </xf>
    <xf numFmtId="0" fontId="15" fillId="0" borderId="0" xfId="0" applyFont="1" applyAlignment="1" applyProtection="1">
      <alignment horizontal="center"/>
      <protection locked="0"/>
    </xf>
    <xf numFmtId="0" fontId="15" fillId="0" borderId="0" xfId="0" applyFont="1" applyAlignment="1" applyProtection="1"/>
    <xf numFmtId="164" fontId="15" fillId="0" borderId="0" xfId="0" applyNumberFormat="1" applyFont="1" applyFill="1" applyProtection="1"/>
    <xf numFmtId="167" fontId="15" fillId="0" borderId="0" xfId="1" applyNumberFormat="1" applyFont="1" applyProtection="1"/>
    <xf numFmtId="1" fontId="15" fillId="0" borderId="0" xfId="0" applyNumberFormat="1" applyFont="1" applyProtection="1"/>
    <xf numFmtId="1" fontId="15" fillId="0" borderId="0" xfId="0" applyNumberFormat="1" applyFont="1" applyFill="1" applyProtection="1"/>
    <xf numFmtId="0" fontId="19" fillId="4" borderId="12" xfId="0" applyFont="1" applyFill="1" applyBorder="1" applyAlignment="1" applyProtection="1">
      <alignment horizontal="center" vertical="center" wrapText="1"/>
    </xf>
    <xf numFmtId="177" fontId="20" fillId="8" borderId="13" xfId="0" applyNumberFormat="1" applyFont="1" applyFill="1" applyBorder="1" applyAlignment="1" applyProtection="1">
      <alignment horizontal="center"/>
    </xf>
    <xf numFmtId="177" fontId="20" fillId="8" borderId="1" xfId="0" applyNumberFormat="1" applyFont="1" applyFill="1" applyBorder="1" applyAlignment="1" applyProtection="1">
      <alignment horizontal="center"/>
    </xf>
    <xf numFmtId="177" fontId="20" fillId="8" borderId="8" xfId="0" applyNumberFormat="1" applyFont="1" applyFill="1" applyBorder="1" applyAlignment="1" applyProtection="1">
      <alignment horizontal="center"/>
    </xf>
    <xf numFmtId="0" fontId="19" fillId="4" borderId="9" xfId="0" applyFont="1" applyFill="1" applyBorder="1" applyProtection="1"/>
    <xf numFmtId="0" fontId="19" fillId="4" borderId="9" xfId="0" applyFont="1" applyFill="1" applyBorder="1" applyAlignment="1" applyProtection="1">
      <alignment horizontal="right"/>
    </xf>
    <xf numFmtId="3" fontId="20" fillId="8" borderId="10" xfId="0" applyNumberFormat="1" applyFont="1" applyFill="1" applyBorder="1" applyAlignment="1" applyProtection="1">
      <alignment horizontal="center"/>
    </xf>
    <xf numFmtId="3" fontId="20" fillId="0" borderId="0" xfId="0" applyNumberFormat="1" applyFont="1" applyFill="1" applyBorder="1" applyAlignment="1" applyProtection="1">
      <alignment horizontal="center"/>
    </xf>
    <xf numFmtId="178" fontId="15" fillId="0" borderId="0" xfId="0" applyNumberFormat="1" applyFont="1" applyAlignment="1" applyProtection="1">
      <alignment horizontal="right"/>
    </xf>
    <xf numFmtId="0" fontId="15" fillId="0" borderId="0" xfId="0" applyFont="1" applyAlignment="1" applyProtection="1">
      <alignment horizontal="right" wrapText="1"/>
    </xf>
    <xf numFmtId="0" fontId="15" fillId="0" borderId="0" xfId="0" applyFont="1" applyFill="1" applyAlignment="1" applyProtection="1">
      <alignment horizontal="left"/>
    </xf>
    <xf numFmtId="166" fontId="15" fillId="0" borderId="1" xfId="0" applyNumberFormat="1" applyFont="1" applyFill="1" applyBorder="1" applyProtection="1"/>
    <xf numFmtId="166" fontId="15" fillId="0" borderId="0" xfId="0" applyNumberFormat="1" applyFont="1" applyBorder="1" applyProtection="1"/>
    <xf numFmtId="164" fontId="23" fillId="0" borderId="1" xfId="0" applyNumberFormat="1" applyFont="1" applyBorder="1" applyAlignment="1" applyProtection="1">
      <alignment horizontal="right"/>
    </xf>
    <xf numFmtId="167" fontId="23" fillId="0" borderId="0" xfId="1" applyNumberFormat="1" applyFont="1" applyProtection="1"/>
    <xf numFmtId="166" fontId="15" fillId="0" borderId="1" xfId="0" applyNumberFormat="1" applyFont="1" applyBorder="1" applyProtection="1"/>
    <xf numFmtId="177" fontId="15" fillId="0" borderId="0" xfId="0" applyNumberFormat="1" applyFont="1" applyBorder="1" applyAlignment="1" applyProtection="1">
      <alignment horizontal="right"/>
    </xf>
    <xf numFmtId="166" fontId="15" fillId="0" borderId="0" xfId="0" applyNumberFormat="1" applyFont="1" applyBorder="1" applyAlignment="1" applyProtection="1">
      <alignment horizontal="right"/>
    </xf>
    <xf numFmtId="164" fontId="23" fillId="0" borderId="0" xfId="0" applyNumberFormat="1" applyFont="1" applyBorder="1" applyAlignment="1" applyProtection="1">
      <alignment horizontal="right"/>
    </xf>
    <xf numFmtId="177" fontId="23" fillId="0" borderId="0" xfId="0" applyNumberFormat="1" applyFont="1" applyProtection="1"/>
    <xf numFmtId="166" fontId="23" fillId="0" borderId="0" xfId="0" applyNumberFormat="1" applyFont="1" applyProtection="1"/>
    <xf numFmtId="164" fontId="20" fillId="0" borderId="0" xfId="0" applyNumberFormat="1" applyFont="1" applyProtection="1"/>
    <xf numFmtId="169" fontId="15" fillId="0" borderId="0" xfId="0" applyNumberFormat="1" applyFont="1" applyProtection="1"/>
    <xf numFmtId="171" fontId="23" fillId="0" borderId="0" xfId="0" applyNumberFormat="1" applyFont="1" applyFill="1" applyBorder="1" applyAlignment="1" applyProtection="1">
      <alignment horizontal="right"/>
    </xf>
    <xf numFmtId="167" fontId="15" fillId="0" borderId="0" xfId="0" applyNumberFormat="1" applyFont="1" applyProtection="1"/>
    <xf numFmtId="168" fontId="20" fillId="0" borderId="0" xfId="0" applyNumberFormat="1" applyFont="1" applyBorder="1" applyAlignment="1" applyProtection="1">
      <alignment horizontal="right" vertical="center"/>
    </xf>
    <xf numFmtId="167" fontId="15" fillId="0" borderId="0" xfId="1" applyNumberFormat="1" applyFont="1" applyAlignment="1" applyProtection="1">
      <alignment horizontal="right"/>
    </xf>
    <xf numFmtId="164" fontId="15" fillId="0" borderId="0" xfId="0" applyNumberFormat="1" applyFont="1" applyAlignment="1" applyProtection="1">
      <alignment horizontal="right"/>
    </xf>
    <xf numFmtId="175" fontId="15" fillId="0" borderId="0" xfId="0" applyNumberFormat="1" applyFont="1" applyAlignment="1" applyProtection="1">
      <alignment horizontal="right"/>
    </xf>
    <xf numFmtId="166" fontId="15" fillId="0" borderId="1" xfId="0" applyNumberFormat="1" applyFont="1" applyBorder="1" applyAlignment="1" applyProtection="1">
      <alignment horizontal="right"/>
    </xf>
    <xf numFmtId="177" fontId="15" fillId="0" borderId="0" xfId="0" applyNumberFormat="1" applyFont="1" applyAlignment="1" applyProtection="1">
      <alignment horizontal="right"/>
    </xf>
    <xf numFmtId="166" fontId="15" fillId="0" borderId="0" xfId="0" applyNumberFormat="1" applyFont="1" applyAlignment="1" applyProtection="1">
      <alignment horizontal="right"/>
    </xf>
    <xf numFmtId="166" fontId="20" fillId="0" borderId="0" xfId="0" applyNumberFormat="1" applyFont="1" applyAlignment="1" applyProtection="1">
      <alignment horizontal="right"/>
    </xf>
    <xf numFmtId="170" fontId="15" fillId="0" borderId="0" xfId="0" applyNumberFormat="1" applyFont="1" applyProtection="1"/>
    <xf numFmtId="166" fontId="15" fillId="0" borderId="1" xfId="0" applyNumberFormat="1" applyFont="1" applyFill="1" applyBorder="1" applyAlignment="1" applyProtection="1">
      <alignment horizontal="right"/>
    </xf>
    <xf numFmtId="170" fontId="15" fillId="0" borderId="0" xfId="0" applyNumberFormat="1" applyFont="1" applyFill="1" applyProtection="1"/>
    <xf numFmtId="177" fontId="23" fillId="0" borderId="0" xfId="0" applyNumberFormat="1" applyFont="1" applyAlignment="1" applyProtection="1">
      <alignment horizontal="right"/>
    </xf>
    <xf numFmtId="166" fontId="23" fillId="0" borderId="0" xfId="0" applyNumberFormat="1" applyFont="1" applyAlignment="1" applyProtection="1">
      <alignment horizontal="right"/>
    </xf>
    <xf numFmtId="167" fontId="15" fillId="0" borderId="0" xfId="1" applyNumberFormat="1" applyFont="1" applyBorder="1" applyProtection="1"/>
    <xf numFmtId="174" fontId="15" fillId="0" borderId="0" xfId="0" applyNumberFormat="1" applyFont="1" applyAlignment="1" applyProtection="1">
      <alignment horizontal="right"/>
    </xf>
    <xf numFmtId="167" fontId="15" fillId="0" borderId="0" xfId="1" applyNumberFormat="1" applyFont="1" applyBorder="1" applyAlignment="1" applyProtection="1">
      <alignment horizontal="right"/>
    </xf>
    <xf numFmtId="168" fontId="15" fillId="0" borderId="0" xfId="0" applyNumberFormat="1" applyFont="1" applyProtection="1"/>
    <xf numFmtId="177" fontId="15" fillId="0" borderId="0" xfId="0" applyNumberFormat="1" applyFont="1" applyBorder="1" applyProtection="1"/>
    <xf numFmtId="9" fontId="15" fillId="0" borderId="0" xfId="1" applyFont="1" applyProtection="1"/>
    <xf numFmtId="166" fontId="15" fillId="0" borderId="0" xfId="0" applyNumberFormat="1" applyFont="1" applyFill="1" applyBorder="1" applyProtection="1"/>
    <xf numFmtId="166" fontId="15" fillId="0" borderId="0" xfId="0" applyNumberFormat="1" applyFont="1" applyFill="1" applyProtection="1"/>
    <xf numFmtId="177" fontId="15" fillId="2" borderId="0" xfId="0" applyNumberFormat="1" applyFont="1" applyFill="1" applyProtection="1"/>
    <xf numFmtId="169" fontId="15" fillId="2" borderId="0" xfId="0" applyNumberFormat="1" applyFont="1" applyFill="1" applyProtection="1"/>
    <xf numFmtId="166" fontId="15" fillId="2" borderId="0" xfId="0" applyNumberFormat="1" applyFont="1" applyFill="1" applyProtection="1"/>
    <xf numFmtId="167" fontId="15" fillId="0" borderId="0" xfId="0" applyNumberFormat="1" applyFont="1" applyAlignment="1" applyProtection="1">
      <alignment horizontal="right"/>
    </xf>
    <xf numFmtId="167" fontId="15" fillId="0" borderId="0" xfId="0" applyNumberFormat="1" applyFont="1" applyFill="1" applyProtection="1"/>
    <xf numFmtId="9" fontId="15" fillId="0" borderId="0" xfId="1" applyFont="1" applyFill="1" applyProtection="1"/>
    <xf numFmtId="178" fontId="15" fillId="0" borderId="0" xfId="0" applyNumberFormat="1" applyFont="1" applyProtection="1"/>
    <xf numFmtId="0" fontId="15" fillId="5" borderId="0" xfId="0" applyFont="1" applyFill="1" applyProtection="1"/>
    <xf numFmtId="167" fontId="23" fillId="5" borderId="0" xfId="1" applyNumberFormat="1" applyFont="1" applyFill="1" applyAlignment="1" applyProtection="1">
      <alignment horizontal="center"/>
    </xf>
    <xf numFmtId="167" fontId="23" fillId="5" borderId="0" xfId="1" applyNumberFormat="1" applyFont="1" applyFill="1" applyProtection="1"/>
    <xf numFmtId="0" fontId="15" fillId="5" borderId="0" xfId="0" applyFont="1" applyFill="1" applyAlignment="1" applyProtection="1">
      <alignment horizontal="right"/>
    </xf>
    <xf numFmtId="0" fontId="15" fillId="5" borderId="0" xfId="0" applyFont="1" applyFill="1" applyAlignment="1" applyProtection="1">
      <alignment horizontal="center"/>
    </xf>
    <xf numFmtId="167" fontId="15" fillId="5" borderId="0" xfId="1" applyNumberFormat="1" applyFont="1" applyFill="1" applyAlignment="1" applyProtection="1">
      <alignment horizontal="center"/>
    </xf>
    <xf numFmtId="167" fontId="15" fillId="5" borderId="0" xfId="1" applyNumberFormat="1" applyFont="1" applyFill="1" applyProtection="1"/>
    <xf numFmtId="168" fontId="23" fillId="5" borderId="0" xfId="1" applyNumberFormat="1" applyFont="1" applyFill="1" applyAlignment="1" applyProtection="1">
      <alignment horizontal="center"/>
    </xf>
    <xf numFmtId="167" fontId="15" fillId="5" borderId="0" xfId="1" applyNumberFormat="1" applyFont="1" applyFill="1" applyAlignment="1" applyProtection="1">
      <alignment horizontal="right"/>
    </xf>
    <xf numFmtId="167" fontId="15" fillId="0" borderId="0" xfId="1" applyNumberFormat="1" applyFont="1" applyAlignment="1" applyProtection="1">
      <alignment horizontal="center"/>
    </xf>
    <xf numFmtId="164" fontId="15" fillId="0" borderId="0" xfId="0" applyNumberFormat="1" applyFont="1" applyAlignment="1" applyProtection="1"/>
    <xf numFmtId="164" fontId="15" fillId="0" borderId="0" xfId="1" applyNumberFormat="1" applyFont="1" applyProtection="1"/>
    <xf numFmtId="0" fontId="24" fillId="0" borderId="0" xfId="0" applyFont="1" applyFill="1" applyAlignment="1" applyProtection="1">
      <alignment horizontal="right"/>
    </xf>
    <xf numFmtId="166" fontId="24" fillId="0" borderId="0" xfId="2" applyNumberFormat="1" applyFont="1" applyFill="1" applyAlignment="1" applyProtection="1">
      <alignment horizontal="center"/>
    </xf>
    <xf numFmtId="0" fontId="17" fillId="0" borderId="0" xfId="0" applyFont="1" applyAlignment="1">
      <alignment horizontal="right"/>
    </xf>
    <xf numFmtId="166" fontId="17" fillId="0" borderId="0" xfId="0" applyNumberFormat="1" applyFont="1"/>
    <xf numFmtId="166" fontId="20" fillId="0" borderId="8" xfId="0" applyNumberFormat="1" applyFont="1" applyFill="1" applyBorder="1" applyAlignment="1" applyProtection="1">
      <alignment horizontal="center"/>
      <protection locked="0"/>
    </xf>
    <xf numFmtId="181" fontId="6" fillId="0" borderId="0" xfId="0" applyNumberFormat="1" applyFont="1" applyFill="1" applyAlignment="1">
      <alignment horizontal="right"/>
    </xf>
    <xf numFmtId="0" fontId="19" fillId="4" borderId="5" xfId="0" applyFont="1" applyFill="1" applyBorder="1" applyAlignment="1" applyProtection="1">
      <alignment horizontal="center" vertical="center" wrapText="1"/>
    </xf>
    <xf numFmtId="0" fontId="16" fillId="0" borderId="0" xfId="0" applyFont="1" applyAlignment="1" applyProtection="1">
      <alignment horizontal="center" vertical="center" textRotation="90"/>
    </xf>
    <xf numFmtId="0" fontId="16" fillId="0" borderId="0" xfId="0" applyFont="1" applyFill="1" applyBorder="1" applyAlignment="1" applyProtection="1">
      <alignment horizontal="center"/>
    </xf>
    <xf numFmtId="0" fontId="17" fillId="0" borderId="17" xfId="0" applyFont="1" applyFill="1" applyBorder="1"/>
    <xf numFmtId="0" fontId="17" fillId="10" borderId="17" xfId="0" applyFont="1" applyFill="1" applyBorder="1"/>
    <xf numFmtId="0" fontId="17" fillId="0" borderId="17" xfId="0" applyFont="1" applyBorder="1"/>
    <xf numFmtId="0" fontId="16" fillId="0" borderId="17" xfId="0" applyFont="1" applyBorder="1" applyAlignment="1">
      <alignment horizontal="center" vertical="center" textRotation="45" wrapText="1"/>
    </xf>
    <xf numFmtId="0" fontId="26" fillId="0" borderId="0" xfId="0" applyFont="1" applyFill="1" applyAlignment="1" applyProtection="1">
      <alignment horizontal="center" vertical="center" wrapText="1"/>
    </xf>
    <xf numFmtId="0" fontId="26" fillId="0" borderId="0" xfId="0" applyFont="1" applyFill="1" applyAlignment="1" applyProtection="1">
      <alignment vertical="center" wrapText="1"/>
    </xf>
    <xf numFmtId="0" fontId="15" fillId="0" borderId="5" xfId="0" applyFont="1" applyFill="1" applyBorder="1" applyProtection="1"/>
    <xf numFmtId="0" fontId="15" fillId="0" borderId="0" xfId="0" applyFont="1" applyFill="1" applyBorder="1" applyAlignment="1" applyProtection="1">
      <alignment horizontal="right"/>
    </xf>
    <xf numFmtId="0" fontId="16" fillId="0" borderId="7" xfId="0" applyFont="1" applyBorder="1" applyAlignment="1" applyProtection="1">
      <alignment horizontal="right" vertical="center"/>
    </xf>
    <xf numFmtId="0" fontId="22" fillId="0" borderId="0" xfId="0" applyFont="1" applyFill="1" applyBorder="1" applyProtection="1"/>
    <xf numFmtId="166" fontId="20" fillId="0" borderId="0" xfId="0" applyNumberFormat="1" applyFont="1" applyFill="1" applyBorder="1" applyAlignment="1" applyProtection="1">
      <alignment horizontal="center" vertical="center"/>
    </xf>
    <xf numFmtId="177" fontId="20" fillId="0" borderId="0" xfId="0" applyNumberFormat="1" applyFont="1" applyProtection="1"/>
    <xf numFmtId="177" fontId="20" fillId="0" borderId="0" xfId="0" applyNumberFormat="1" applyFont="1" applyFill="1" applyProtection="1"/>
    <xf numFmtId="1" fontId="20" fillId="0" borderId="0" xfId="0" applyNumberFormat="1" applyFont="1" applyBorder="1" applyAlignment="1" applyProtection="1">
      <alignment horizontal="right" vertical="center"/>
    </xf>
    <xf numFmtId="3" fontId="20" fillId="0" borderId="0" xfId="0" applyNumberFormat="1" applyFont="1" applyBorder="1" applyAlignment="1" applyProtection="1">
      <alignment horizontal="right" vertical="center"/>
    </xf>
    <xf numFmtId="177" fontId="20" fillId="0" borderId="0" xfId="0" applyNumberFormat="1" applyFont="1" applyBorder="1" applyProtection="1"/>
    <xf numFmtId="177" fontId="20" fillId="0" borderId="1" xfId="0" applyNumberFormat="1" applyFont="1" applyBorder="1" applyProtection="1"/>
    <xf numFmtId="177" fontId="20" fillId="0" borderId="0" xfId="0" applyNumberFormat="1" applyFont="1" applyAlignment="1" applyProtection="1">
      <alignment horizontal="right"/>
    </xf>
    <xf numFmtId="177" fontId="20" fillId="0" borderId="0" xfId="0" applyNumberFormat="1" applyFont="1" applyFill="1" applyAlignment="1" applyProtection="1">
      <alignment horizontal="right"/>
    </xf>
    <xf numFmtId="177" fontId="20" fillId="5" borderId="0" xfId="0" applyNumberFormat="1" applyFont="1" applyFill="1" applyProtection="1"/>
    <xf numFmtId="0" fontId="16" fillId="0" borderId="4"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0" xfId="0" applyFont="1" applyBorder="1" applyAlignment="1" applyProtection="1">
      <alignment horizontal="center" vertical="center"/>
    </xf>
    <xf numFmtId="166" fontId="15" fillId="2" borderId="1" xfId="0" applyNumberFormat="1" applyFont="1" applyFill="1" applyBorder="1" applyAlignment="1" applyProtection="1">
      <alignment horizontal="center"/>
    </xf>
    <xf numFmtId="166" fontId="20" fillId="0" borderId="1" xfId="0" applyNumberFormat="1" applyFont="1" applyFill="1" applyBorder="1" applyAlignment="1" applyProtection="1">
      <alignment horizontal="center"/>
      <protection locked="0"/>
    </xf>
    <xf numFmtId="166" fontId="20" fillId="0" borderId="1" xfId="1" applyNumberFormat="1" applyFont="1" applyFill="1" applyBorder="1" applyAlignment="1" applyProtection="1">
      <alignment horizontal="center"/>
      <protection locked="0"/>
    </xf>
    <xf numFmtId="166" fontId="15" fillId="2" borderId="0" xfId="0" applyNumberFormat="1" applyFont="1" applyFill="1" applyBorder="1" applyAlignment="1" applyProtection="1">
      <alignment horizontal="center"/>
    </xf>
    <xf numFmtId="0" fontId="20" fillId="0" borderId="1" xfId="0" applyFont="1" applyFill="1" applyBorder="1" applyAlignment="1" applyProtection="1">
      <alignment horizontal="center" vertical="center"/>
      <protection locked="0"/>
    </xf>
    <xf numFmtId="164" fontId="15" fillId="0" borderId="0" xfId="0" applyNumberFormat="1" applyFont="1" applyBorder="1" applyAlignment="1" applyProtection="1">
      <alignment horizontal="center" vertical="center"/>
    </xf>
    <xf numFmtId="0" fontId="21" fillId="0" borderId="0" xfId="0" applyFont="1" applyFill="1" applyBorder="1" applyAlignment="1" applyProtection="1">
      <alignment horizontal="right" vertical="center" wrapText="1"/>
    </xf>
    <xf numFmtId="166" fontId="19" fillId="0" borderId="0" xfId="0" applyNumberFormat="1" applyFont="1" applyFill="1" applyBorder="1" applyAlignment="1" applyProtection="1"/>
    <xf numFmtId="166" fontId="15" fillId="0" borderId="0" xfId="0" applyNumberFormat="1" applyFont="1" applyFill="1" applyBorder="1" applyAlignment="1" applyProtection="1"/>
    <xf numFmtId="0" fontId="15" fillId="0" borderId="5" xfId="0" applyFont="1" applyBorder="1" applyProtection="1"/>
    <xf numFmtId="0" fontId="15" fillId="0" borderId="7" xfId="0" applyFont="1" applyBorder="1" applyProtection="1"/>
    <xf numFmtId="182" fontId="20" fillId="0" borderId="8" xfId="0" applyNumberFormat="1" applyFont="1" applyFill="1" applyBorder="1" applyAlignment="1" applyProtection="1">
      <alignment horizontal="center" vertical="center"/>
      <protection locked="0"/>
    </xf>
    <xf numFmtId="0" fontId="16" fillId="0" borderId="16" xfId="0" applyFont="1" applyBorder="1" applyAlignment="1">
      <alignment horizontal="center" vertical="center" textRotation="45" wrapText="1"/>
    </xf>
    <xf numFmtId="0" fontId="17" fillId="0" borderId="0" xfId="0" applyFont="1" applyFill="1" applyAlignment="1">
      <alignment vertical="top" wrapText="1"/>
    </xf>
    <xf numFmtId="0" fontId="14" fillId="12" borderId="19" xfId="0" applyFont="1" applyFill="1" applyBorder="1" applyAlignment="1">
      <alignment vertical="center" wrapText="1"/>
    </xf>
    <xf numFmtId="0" fontId="14" fillId="12" borderId="20" xfId="0" applyFont="1" applyFill="1" applyBorder="1" applyAlignment="1">
      <alignment vertical="center" wrapText="1"/>
    </xf>
    <xf numFmtId="0" fontId="15" fillId="0" borderId="17" xfId="0" applyFont="1" applyBorder="1" applyAlignment="1">
      <alignment vertical="top" wrapText="1"/>
    </xf>
    <xf numFmtId="0" fontId="27" fillId="0" borderId="17" xfId="0" applyFont="1" applyBorder="1" applyAlignment="1">
      <alignment vertical="top" wrapText="1"/>
    </xf>
    <xf numFmtId="0" fontId="30" fillId="0" borderId="0" xfId="0" applyFont="1"/>
    <xf numFmtId="0" fontId="29" fillId="0" borderId="0" xfId="0" applyFont="1"/>
    <xf numFmtId="0" fontId="32" fillId="0" borderId="17" xfId="0" applyFont="1" applyBorder="1"/>
    <xf numFmtId="0" fontId="17" fillId="3" borderId="17" xfId="0" applyFont="1" applyFill="1" applyBorder="1"/>
    <xf numFmtId="0" fontId="17" fillId="3" borderId="15" xfId="0" applyFont="1" applyFill="1" applyBorder="1"/>
    <xf numFmtId="0" fontId="17" fillId="10" borderId="15" xfId="0" applyFont="1" applyFill="1" applyBorder="1"/>
    <xf numFmtId="0" fontId="17" fillId="0" borderId="15" xfId="0" applyFont="1" applyFill="1" applyBorder="1"/>
    <xf numFmtId="0" fontId="17" fillId="0" borderId="15" xfId="0" applyFont="1" applyBorder="1"/>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18" fillId="8" borderId="9"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10" xfId="0" applyFont="1" applyFill="1" applyBorder="1" applyAlignment="1">
      <alignment horizontal="center" vertical="center"/>
    </xf>
    <xf numFmtId="0" fontId="26" fillId="11" borderId="0" xfId="0" applyFont="1" applyFill="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166" fontId="20" fillId="0" borderId="1" xfId="0" applyNumberFormat="1" applyFont="1" applyFill="1" applyBorder="1" applyAlignment="1" applyProtection="1">
      <alignment horizontal="center"/>
      <protection locked="0"/>
    </xf>
    <xf numFmtId="0" fontId="16" fillId="0" borderId="4"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0" xfId="0" applyFont="1" applyBorder="1" applyAlignment="1" applyProtection="1">
      <alignment horizontal="center" vertical="center" textRotation="90"/>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166" fontId="19" fillId="4" borderId="2" xfId="0" applyNumberFormat="1" applyFont="1" applyFill="1" applyBorder="1" applyAlignment="1" applyProtection="1">
      <alignment horizontal="center"/>
    </xf>
    <xf numFmtId="166" fontId="19" fillId="4" borderId="3" xfId="0" applyNumberFormat="1" applyFont="1" applyFill="1" applyBorder="1" applyAlignment="1" applyProtection="1">
      <alignment horizontal="center"/>
    </xf>
    <xf numFmtId="166" fontId="19" fillId="4" borderId="4" xfId="0" applyNumberFormat="1" applyFont="1" applyFill="1" applyBorder="1" applyAlignment="1" applyProtection="1">
      <alignment horizontal="center"/>
    </xf>
    <xf numFmtId="166" fontId="20" fillId="0" borderId="1" xfId="1" applyNumberFormat="1" applyFont="1" applyFill="1" applyBorder="1" applyAlignment="1" applyProtection="1">
      <alignment horizontal="center"/>
      <protection locked="0"/>
    </xf>
    <xf numFmtId="0" fontId="16" fillId="0" borderId="0" xfId="0" applyFont="1" applyFill="1" applyBorder="1" applyAlignment="1" applyProtection="1">
      <alignment horizontal="center"/>
    </xf>
    <xf numFmtId="166" fontId="16" fillId="2" borderId="6" xfId="0" applyNumberFormat="1" applyFont="1" applyFill="1" applyBorder="1" applyAlignment="1" applyProtection="1">
      <alignment horizontal="center" vertical="center"/>
    </xf>
    <xf numFmtId="166" fontId="16" fillId="2" borderId="8" xfId="0" applyNumberFormat="1"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6" fillId="2" borderId="5" xfId="0" applyFont="1" applyFill="1" applyBorder="1" applyAlignment="1" applyProtection="1">
      <alignment horizontal="right" wrapText="1"/>
    </xf>
    <xf numFmtId="0" fontId="16" fillId="2" borderId="0" xfId="0" applyFont="1" applyFill="1" applyBorder="1" applyAlignment="1" applyProtection="1">
      <alignment horizontal="right" wrapText="1"/>
    </xf>
    <xf numFmtId="0" fontId="16" fillId="2" borderId="7" xfId="0" applyFont="1" applyFill="1" applyBorder="1" applyAlignment="1" applyProtection="1">
      <alignment horizontal="right" wrapText="1"/>
    </xf>
    <xf numFmtId="0" fontId="16" fillId="2" borderId="1" xfId="0" applyFont="1" applyFill="1" applyBorder="1" applyAlignment="1" applyProtection="1">
      <alignment horizontal="right" wrapText="1"/>
    </xf>
    <xf numFmtId="0" fontId="13" fillId="6" borderId="9"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9" fillId="4" borderId="15"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9" fillId="4" borderId="0" xfId="0" applyFont="1" applyFill="1" applyAlignment="1" applyProtection="1">
      <alignment horizontal="center" vertical="center" textRotation="90"/>
    </xf>
    <xf numFmtId="0" fontId="16" fillId="0" borderId="0" xfId="0" applyFont="1" applyAlignment="1" applyProtection="1">
      <alignment horizontal="right" vertical="center"/>
    </xf>
    <xf numFmtId="0" fontId="7" fillId="3" borderId="0" xfId="0" applyFont="1" applyFill="1" applyAlignment="1">
      <alignment horizontal="center"/>
    </xf>
    <xf numFmtId="0" fontId="18" fillId="9" borderId="9" xfId="0" applyFont="1" applyFill="1" applyBorder="1" applyAlignment="1">
      <alignment horizontal="center" vertical="center"/>
    </xf>
    <xf numFmtId="0" fontId="18" fillId="9" borderId="11" xfId="0" applyFont="1" applyFill="1" applyBorder="1" applyAlignment="1">
      <alignment horizontal="center" vertical="center"/>
    </xf>
    <xf numFmtId="0" fontId="18" fillId="9"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xf>
    <xf numFmtId="0" fontId="18" fillId="13" borderId="5" xfId="0" applyFont="1" applyFill="1" applyBorder="1" applyAlignment="1">
      <alignment horizontal="center" vertical="center"/>
    </xf>
    <xf numFmtId="0" fontId="18" fillId="13" borderId="0" xfId="0" applyFont="1" applyFill="1" applyBorder="1" applyAlignment="1">
      <alignment horizontal="center" vertical="center"/>
    </xf>
    <xf numFmtId="0" fontId="17" fillId="10" borderId="9" xfId="0" applyFont="1" applyFill="1" applyBorder="1"/>
    <xf numFmtId="0" fontId="17" fillId="0" borderId="9" xfId="0" applyFont="1" applyBorder="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Revenue Composition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'Key Variables'!$G$64:$H$64</c:f>
              <c:strCache>
                <c:ptCount val="2"/>
                <c:pt idx="0">
                  <c:v>Recurring</c:v>
                </c:pt>
              </c:strCache>
            </c:strRef>
          </c:tx>
          <c:spPr>
            <a:solidFill>
              <a:schemeClr val="accent1"/>
            </a:solidFill>
            <a:ln>
              <a:noFill/>
            </a:ln>
            <a:effectLst/>
          </c:spPr>
          <c:invertIfNegative val="0"/>
          <c:cat>
            <c:numRef>
              <c:f>'Key Variables'!$I$63:$L$63</c:f>
              <c:numCache>
                <c:formatCode>General</c:formatCode>
                <c:ptCount val="4"/>
                <c:pt idx="0">
                  <c:v>1</c:v>
                </c:pt>
                <c:pt idx="1">
                  <c:v>2</c:v>
                </c:pt>
                <c:pt idx="2">
                  <c:v>3</c:v>
                </c:pt>
                <c:pt idx="3">
                  <c:v>4</c:v>
                </c:pt>
              </c:numCache>
            </c:numRef>
          </c:cat>
          <c:val>
            <c:numRef>
              <c:f>'Key Variables'!$I$64:$L$64</c:f>
              <c:numCache>
                <c:formatCode>"$"#,##0</c:formatCode>
                <c:ptCount val="4"/>
                <c:pt idx="0">
                  <c:v>138802.08333333334</c:v>
                </c:pt>
                <c:pt idx="1">
                  <c:v>533854.16666666663</c:v>
                </c:pt>
                <c:pt idx="2">
                  <c:v>1185156.2500000002</c:v>
                </c:pt>
                <c:pt idx="3">
                  <c:v>2092708.3333333333</c:v>
                </c:pt>
              </c:numCache>
            </c:numRef>
          </c:val>
          <c:extLst>
            <c:ext xmlns:c16="http://schemas.microsoft.com/office/drawing/2014/chart" uri="{C3380CC4-5D6E-409C-BE32-E72D297353CC}">
              <c16:uniqueId val="{00000000-B4FA-4E40-A196-F600A9BF1944}"/>
            </c:ext>
          </c:extLst>
        </c:ser>
        <c:ser>
          <c:idx val="1"/>
          <c:order val="1"/>
          <c:tx>
            <c:strRef>
              <c:f>'Key Variables'!$G$65:$H$65</c:f>
              <c:strCache>
                <c:ptCount val="2"/>
                <c:pt idx="0">
                  <c:v>Non-Recurring</c:v>
                </c:pt>
              </c:strCache>
            </c:strRef>
          </c:tx>
          <c:spPr>
            <a:solidFill>
              <a:schemeClr val="accent2"/>
            </a:solidFill>
            <a:ln>
              <a:noFill/>
            </a:ln>
            <a:effectLst/>
          </c:spPr>
          <c:invertIfNegative val="0"/>
          <c:cat>
            <c:numRef>
              <c:f>'Key Variables'!$I$63:$L$63</c:f>
              <c:numCache>
                <c:formatCode>General</c:formatCode>
                <c:ptCount val="4"/>
                <c:pt idx="0">
                  <c:v>1</c:v>
                </c:pt>
                <c:pt idx="1">
                  <c:v>2</c:v>
                </c:pt>
                <c:pt idx="2">
                  <c:v>3</c:v>
                </c:pt>
                <c:pt idx="3">
                  <c:v>4</c:v>
                </c:pt>
              </c:numCache>
            </c:numRef>
          </c:cat>
          <c:val>
            <c:numRef>
              <c:f>'Key Variables'!$I$65:$L$65</c:f>
              <c:numCache>
                <c:formatCode>"$"#,##0;[Red]\-"$"#,##0</c:formatCode>
                <c:ptCount val="4"/>
                <c:pt idx="0">
                  <c:v>51093.749999999993</c:v>
                </c:pt>
                <c:pt idx="1">
                  <c:v>108906.24999999999</c:v>
                </c:pt>
                <c:pt idx="2">
                  <c:v>174218.75</c:v>
                </c:pt>
                <c:pt idx="3">
                  <c:v>247031.24999999997</c:v>
                </c:pt>
              </c:numCache>
            </c:numRef>
          </c:val>
          <c:extLst>
            <c:ext xmlns:c16="http://schemas.microsoft.com/office/drawing/2014/chart" uri="{C3380CC4-5D6E-409C-BE32-E72D297353CC}">
              <c16:uniqueId val="{00000001-B4FA-4E40-A196-F600A9BF1944}"/>
            </c:ext>
          </c:extLst>
        </c:ser>
        <c:dLbls>
          <c:showLegendKey val="0"/>
          <c:showVal val="0"/>
          <c:showCatName val="0"/>
          <c:showSerName val="0"/>
          <c:showPercent val="0"/>
          <c:showBubbleSize val="0"/>
        </c:dLbls>
        <c:gapWidth val="150"/>
        <c:overlap val="100"/>
        <c:axId val="-444152336"/>
        <c:axId val="-444165392"/>
      </c:barChart>
      <c:catAx>
        <c:axId val="-44415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44165392"/>
        <c:crosses val="autoZero"/>
        <c:auto val="1"/>
        <c:lblAlgn val="ctr"/>
        <c:lblOffset val="100"/>
        <c:noMultiLvlLbl val="0"/>
      </c:catAx>
      <c:valAx>
        <c:axId val="-4441653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4415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aseline="0">
                <a:latin typeface="Segoe UI" panose="020B0502040204020203" pitchFamily="34" charset="0"/>
                <a:cs typeface="Segoe UI" panose="020B0502040204020203" pitchFamily="34" charset="0"/>
              </a:rPr>
              <a:t>Approximate Valuation Impact</a:t>
            </a:r>
            <a:endParaRPr lang="en-US">
              <a:latin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1"/>
          <c:order val="1"/>
          <c:spPr>
            <a:solidFill>
              <a:srgbClr val="00B050"/>
            </a:solidFill>
            <a:ln>
              <a:noFill/>
            </a:ln>
            <a:effectLst/>
          </c:spPr>
          <c:invertIfNegative val="0"/>
          <c:val>
            <c:numRef>
              <c:f>'Key Variables'!$I$79:$L$79</c:f>
              <c:numCache>
                <c:formatCode>"$"#,##0;[Red]\-"$"#,##0</c:formatCode>
                <c:ptCount val="4"/>
                <c:pt idx="0">
                  <c:v>325588.23958333337</c:v>
                </c:pt>
                <c:pt idx="1">
                  <c:v>1206266.3229166665</c:v>
                </c:pt>
                <c:pt idx="2">
                  <c:v>2642444.4062500005</c:v>
                </c:pt>
                <c:pt idx="3">
                  <c:v>4634122.4895833321</c:v>
                </c:pt>
              </c:numCache>
            </c:numRef>
          </c:val>
          <c:extLst>
            <c:ext xmlns:c16="http://schemas.microsoft.com/office/drawing/2014/chart" uri="{C3380CC4-5D6E-409C-BE32-E72D297353CC}">
              <c16:uniqueId val="{00000000-F12C-4BAE-8CD4-814AD5F50057}"/>
            </c:ext>
          </c:extLst>
        </c:ser>
        <c:dLbls>
          <c:showLegendKey val="0"/>
          <c:showVal val="0"/>
          <c:showCatName val="0"/>
          <c:showSerName val="0"/>
          <c:showPercent val="0"/>
          <c:showBubbleSize val="0"/>
        </c:dLbls>
        <c:gapWidth val="150"/>
        <c:axId val="-444158320"/>
        <c:axId val="-444157232"/>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'Key Variables'!$I$76:$L$76</c15:sqref>
                        </c15:formulaRef>
                      </c:ext>
                    </c:extLst>
                    <c:numCache>
                      <c:formatCode>General</c:formatCode>
                      <c:ptCount val="4"/>
                      <c:pt idx="0">
                        <c:v>1</c:v>
                      </c:pt>
                      <c:pt idx="1">
                        <c:v>2</c:v>
                      </c:pt>
                      <c:pt idx="2">
                        <c:v>3</c:v>
                      </c:pt>
                      <c:pt idx="3">
                        <c:v>4</c:v>
                      </c:pt>
                    </c:numCache>
                  </c:numRef>
                </c:val>
                <c:extLst>
                  <c:ext xmlns:c16="http://schemas.microsoft.com/office/drawing/2014/chart" uri="{C3380CC4-5D6E-409C-BE32-E72D297353CC}">
                    <c16:uniqueId val="{00000001-F12C-4BAE-8CD4-814AD5F50057}"/>
                  </c:ext>
                </c:extLst>
              </c15:ser>
            </c15:filteredBarSeries>
          </c:ext>
        </c:extLst>
      </c:barChart>
      <c:catAx>
        <c:axId val="-444158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44157232"/>
        <c:crossesAt val="0"/>
        <c:auto val="1"/>
        <c:lblAlgn val="ctr"/>
        <c:lblOffset val="100"/>
        <c:noMultiLvlLbl val="0"/>
      </c:catAx>
      <c:valAx>
        <c:axId val="-4441572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44158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1">
                <a:latin typeface="Segoe UI" panose="020B0502040204020203" pitchFamily="34" charset="0"/>
                <a:cs typeface="Segoe UI" panose="020B0502040204020203" pitchFamily="34" charset="0"/>
              </a:rPr>
              <a:t>Total Customers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bar"/>
        <c:grouping val="clustered"/>
        <c:varyColors val="0"/>
        <c:ser>
          <c:idx val="0"/>
          <c:order val="0"/>
          <c:tx>
            <c:strRef>
              <c:f>Customers!$B$38</c:f>
              <c:strCache>
                <c:ptCount val="1"/>
                <c:pt idx="0">
                  <c:v>IP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Customers!$C$37:$F$37</c:f>
              <c:numCache>
                <c:formatCode>General</c:formatCode>
                <c:ptCount val="4"/>
                <c:pt idx="0">
                  <c:v>1</c:v>
                </c:pt>
                <c:pt idx="1">
                  <c:v>2</c:v>
                </c:pt>
                <c:pt idx="2">
                  <c:v>3</c:v>
                </c:pt>
                <c:pt idx="3">
                  <c:v>4</c:v>
                </c:pt>
              </c:numCache>
            </c:numRef>
          </c:cat>
          <c:val>
            <c:numRef>
              <c:f>Customers!$C$38:$F$38</c:f>
              <c:numCache>
                <c:formatCode>#,##0</c:formatCode>
                <c:ptCount val="4"/>
                <c:pt idx="0">
                  <c:v>1.25</c:v>
                </c:pt>
                <c:pt idx="1">
                  <c:v>3.7500000000000013</c:v>
                </c:pt>
                <c:pt idx="2">
                  <c:v>7.5000000000000009</c:v>
                </c:pt>
                <c:pt idx="3">
                  <c:v>12.499999999999995</c:v>
                </c:pt>
              </c:numCache>
            </c:numRef>
          </c:val>
          <c:extLst>
            <c:ext xmlns:c16="http://schemas.microsoft.com/office/drawing/2014/chart" uri="{C3380CC4-5D6E-409C-BE32-E72D297353CC}">
              <c16:uniqueId val="{00000000-AD9F-4177-9FB8-5AD573CA9862}"/>
            </c:ext>
          </c:extLst>
        </c:ser>
        <c:ser>
          <c:idx val="2"/>
          <c:order val="2"/>
          <c:tx>
            <c:strRef>
              <c:f>Customers!$B$40</c:f>
              <c:strCache>
                <c:ptCount val="1"/>
                <c:pt idx="0">
                  <c:v>Managed Services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Customers!$C$37:$F$37</c:f>
              <c:numCache>
                <c:formatCode>General</c:formatCode>
                <c:ptCount val="4"/>
                <c:pt idx="0">
                  <c:v>1</c:v>
                </c:pt>
                <c:pt idx="1">
                  <c:v>2</c:v>
                </c:pt>
                <c:pt idx="2">
                  <c:v>3</c:v>
                </c:pt>
                <c:pt idx="3">
                  <c:v>4</c:v>
                </c:pt>
              </c:numCache>
            </c:numRef>
          </c:cat>
          <c:val>
            <c:numRef>
              <c:f>Customers!$C$40:$F$40</c:f>
              <c:numCache>
                <c:formatCode>#,##0</c:formatCode>
                <c:ptCount val="4"/>
                <c:pt idx="0">
                  <c:v>2.5</c:v>
                </c:pt>
                <c:pt idx="1">
                  <c:v>7.5000000000000027</c:v>
                </c:pt>
                <c:pt idx="2">
                  <c:v>15.000000000000002</c:v>
                </c:pt>
                <c:pt idx="3">
                  <c:v>24.999999999999989</c:v>
                </c:pt>
              </c:numCache>
            </c:numRef>
          </c:val>
          <c:extLst>
            <c:ext xmlns:c16="http://schemas.microsoft.com/office/drawing/2014/chart" uri="{C3380CC4-5D6E-409C-BE32-E72D297353CC}">
              <c16:uniqueId val="{00000001-AD9F-4177-9FB8-5AD573CA9862}"/>
            </c:ext>
          </c:extLst>
        </c:ser>
        <c:ser>
          <c:idx val="3"/>
          <c:order val="3"/>
          <c:tx>
            <c:strRef>
              <c:f>Customers!$B$41</c:f>
              <c:strCache>
                <c:ptCount val="1"/>
                <c:pt idx="0">
                  <c:v>Azure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Customers!$C$37:$F$37</c:f>
              <c:numCache>
                <c:formatCode>General</c:formatCode>
                <c:ptCount val="4"/>
                <c:pt idx="0">
                  <c:v>1</c:v>
                </c:pt>
                <c:pt idx="1">
                  <c:v>2</c:v>
                </c:pt>
                <c:pt idx="2">
                  <c:v>3</c:v>
                </c:pt>
                <c:pt idx="3">
                  <c:v>4</c:v>
                </c:pt>
              </c:numCache>
            </c:numRef>
          </c:cat>
          <c:val>
            <c:numRef>
              <c:f>Customers!$C$41:$F$41</c:f>
              <c:numCache>
                <c:formatCode>#,##0</c:formatCode>
                <c:ptCount val="4"/>
                <c:pt idx="0">
                  <c:v>5</c:v>
                </c:pt>
                <c:pt idx="1">
                  <c:v>15.000000000000005</c:v>
                </c:pt>
                <c:pt idx="2">
                  <c:v>30.000000000000004</c:v>
                </c:pt>
                <c:pt idx="3">
                  <c:v>49.999999999999979</c:v>
                </c:pt>
              </c:numCache>
            </c:numRef>
          </c:val>
          <c:extLst>
            <c:ext xmlns:c16="http://schemas.microsoft.com/office/drawing/2014/chart" uri="{C3380CC4-5D6E-409C-BE32-E72D297353CC}">
              <c16:uniqueId val="{00000002-AD9F-4177-9FB8-5AD573CA9862}"/>
            </c:ext>
          </c:extLst>
        </c:ser>
        <c:dLbls>
          <c:showLegendKey val="0"/>
          <c:showVal val="0"/>
          <c:showCatName val="0"/>
          <c:showSerName val="0"/>
          <c:showPercent val="0"/>
          <c:showBubbleSize val="0"/>
        </c:dLbls>
        <c:gapWidth val="150"/>
        <c:axId val="-387556528"/>
        <c:axId val="-387552176"/>
        <c:extLst>
          <c:ext xmlns:c15="http://schemas.microsoft.com/office/drawing/2012/chart" uri="{02D57815-91ED-43cb-92C2-25804820EDAC}">
            <c15:filteredBarSeries>
              <c15:ser>
                <c:idx val="1"/>
                <c:order val="1"/>
                <c:tx>
                  <c:strRef>
                    <c:extLst>
                      <c:ext uri="{02D57815-91ED-43cb-92C2-25804820EDAC}">
                        <c15:formulaRef>
                          <c15:sqref>Customers!$B$39</c15:sqref>
                        </c15:formulaRef>
                      </c:ext>
                    </c:extLst>
                    <c:strCache>
                      <c:ptCount val="1"/>
                      <c:pt idx="0">
                        <c:v>O365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Customers!$C$37:$F$37</c15:sqref>
                        </c15:formulaRef>
                      </c:ext>
                    </c:extLst>
                    <c:numCache>
                      <c:formatCode>General</c:formatCode>
                      <c:ptCount val="4"/>
                      <c:pt idx="0">
                        <c:v>1</c:v>
                      </c:pt>
                      <c:pt idx="1">
                        <c:v>2</c:v>
                      </c:pt>
                      <c:pt idx="2">
                        <c:v>3</c:v>
                      </c:pt>
                      <c:pt idx="3">
                        <c:v>4</c:v>
                      </c:pt>
                    </c:numCache>
                  </c:numRef>
                </c:cat>
                <c:val>
                  <c:numRef>
                    <c:extLst>
                      <c:ext uri="{02D57815-91ED-43cb-92C2-25804820EDAC}">
                        <c15:formulaRef>
                          <c15:sqref>Customers!$C$39:$F$39</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3-AD9F-4177-9FB8-5AD573CA9862}"/>
                  </c:ext>
                </c:extLst>
              </c15:ser>
            </c15:filteredBarSeries>
          </c:ext>
        </c:extLst>
      </c:barChart>
      <c:catAx>
        <c:axId val="-38755652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sz="1400" b="1">
                    <a:latin typeface="Segoe UI" panose="020B0502040204020203" pitchFamily="34" charset="0"/>
                    <a:cs typeface="Segoe UI" panose="020B0502040204020203" pitchFamily="34" charset="0"/>
                  </a:rPr>
                  <a:t>Year</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552176"/>
        <c:crosses val="autoZero"/>
        <c:auto val="1"/>
        <c:lblAlgn val="ctr"/>
        <c:lblOffset val="100"/>
        <c:noMultiLvlLbl val="0"/>
      </c:catAx>
      <c:valAx>
        <c:axId val="-387552176"/>
        <c:scaling>
          <c:orientation val="minMax"/>
        </c:scaling>
        <c:delete val="1"/>
        <c:axPos val="b"/>
        <c:numFmt formatCode="#,##0" sourceLinked="1"/>
        <c:majorTickMark val="none"/>
        <c:minorTickMark val="none"/>
        <c:tickLblPos val="nextTo"/>
        <c:crossAx val="-387556528"/>
        <c:crosses val="autoZero"/>
        <c:crossBetween val="between"/>
      </c:valAx>
      <c:spPr>
        <a:noFill/>
        <a:ln>
          <a:noFill/>
        </a:ln>
        <a:effectLst/>
      </c:spPr>
    </c:plotArea>
    <c:legend>
      <c:legendPos val="b"/>
      <c:layout>
        <c:manualLayout>
          <c:xMode val="edge"/>
          <c:yMode val="edge"/>
          <c:x val="0.77136161531429459"/>
          <c:y val="0.93982334172597715"/>
          <c:w val="0.21715161062782445"/>
          <c:h val="4.172582143683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lumMod val="50000"/>
                  </a:schemeClr>
                </a:solidFill>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Cumulative Cash Flow</a:t>
            </a:r>
          </a:p>
        </c:rich>
      </c:tx>
      <c:layout>
        <c:manualLayout>
          <c:xMode val="edge"/>
          <c:yMode val="edge"/>
          <c:x val="0.31608218191715315"/>
          <c:y val="0.21824402532141721"/>
        </c:manualLayout>
      </c:layout>
      <c:overlay val="0"/>
    </c:title>
    <c:autoTitleDeleted val="0"/>
    <c:plotArea>
      <c:layout>
        <c:manualLayout>
          <c:layoutTarget val="inner"/>
          <c:xMode val="edge"/>
          <c:yMode val="edge"/>
          <c:x val="6.1898466325320235E-2"/>
          <c:y val="2.5304888171029903E-2"/>
          <c:w val="0.93619047051366877"/>
          <c:h val="0.8552995333414648"/>
        </c:manualLayout>
      </c:layout>
      <c:barChart>
        <c:barDir val="col"/>
        <c:grouping val="clustered"/>
        <c:varyColors val="0"/>
        <c:ser>
          <c:idx val="1"/>
          <c:order val="0"/>
          <c:tx>
            <c:strRef>
              <c:f>'Cash Flow'!$B$45</c:f>
              <c:strCache>
                <c:ptCount val="1"/>
                <c:pt idx="0">
                  <c:v>Monthly Cumulative Cash Flow</c:v>
                </c:pt>
              </c:strCache>
            </c:strRef>
          </c:tx>
          <c:spPr>
            <a:ln w="25400">
              <a:noFill/>
            </a:ln>
          </c:spPr>
          <c:invertIfNegative val="0"/>
          <c:val>
            <c:numRef>
              <c:f>'Cash Flow'!$C$45:$AX$45</c:f>
              <c:numCache>
                <c:formatCode>"$"#,##0</c:formatCode>
                <c:ptCount val="48"/>
                <c:pt idx="0">
                  <c:v>-8773.0034722222208</c:v>
                </c:pt>
                <c:pt idx="1">
                  <c:v>-16779.947916666664</c:v>
                </c:pt>
                <c:pt idx="2">
                  <c:v>-24020.833333333328</c:v>
                </c:pt>
                <c:pt idx="3">
                  <c:v>-30495.659722222215</c:v>
                </c:pt>
                <c:pt idx="4">
                  <c:v>-36204.427083333321</c:v>
                </c:pt>
                <c:pt idx="5">
                  <c:v>-41147.135416666657</c:v>
                </c:pt>
                <c:pt idx="6">
                  <c:v>-45305.555555555547</c:v>
                </c:pt>
                <c:pt idx="7">
                  <c:v>-48679.687499999993</c:v>
                </c:pt>
                <c:pt idx="8">
                  <c:v>-51269.531249999993</c:v>
                </c:pt>
                <c:pt idx="9">
                  <c:v>-53075.086805555547</c:v>
                </c:pt>
                <c:pt idx="10">
                  <c:v>-54096.354166666657</c:v>
                </c:pt>
                <c:pt idx="11">
                  <c:v>-54333.333333333328</c:v>
                </c:pt>
                <c:pt idx="12">
                  <c:v>-60205.078125</c:v>
                </c:pt>
                <c:pt idx="13">
                  <c:v>-64526.475694444453</c:v>
                </c:pt>
                <c:pt idx="14">
                  <c:v>-67297.526041666686</c:v>
                </c:pt>
                <c:pt idx="15">
                  <c:v>-68518.229166666686</c:v>
                </c:pt>
                <c:pt idx="16">
                  <c:v>-68188.585069444467</c:v>
                </c:pt>
                <c:pt idx="17">
                  <c:v>-66308.593750000029</c:v>
                </c:pt>
                <c:pt idx="18">
                  <c:v>-62860.026041666701</c:v>
                </c:pt>
                <c:pt idx="19">
                  <c:v>-57842.881944444482</c:v>
                </c:pt>
                <c:pt idx="20">
                  <c:v>-51257.161458333372</c:v>
                </c:pt>
                <c:pt idx="21">
                  <c:v>-43102.864583333379</c:v>
                </c:pt>
                <c:pt idx="22">
                  <c:v>-33379.991319444489</c:v>
                </c:pt>
                <c:pt idx="23">
                  <c:v>-22088.541666666701</c:v>
                </c:pt>
                <c:pt idx="24">
                  <c:v>-16269.531250000029</c:v>
                </c:pt>
                <c:pt idx="25">
                  <c:v>-8115.8854166666933</c:v>
                </c:pt>
                <c:pt idx="26">
                  <c:v>2372.3958333333067</c:v>
                </c:pt>
                <c:pt idx="27">
                  <c:v>15195.312499999964</c:v>
                </c:pt>
                <c:pt idx="28">
                  <c:v>30352.864583333299</c:v>
                </c:pt>
                <c:pt idx="29">
                  <c:v>47845.052083333299</c:v>
                </c:pt>
                <c:pt idx="30">
                  <c:v>67690.104166666628</c:v>
                </c:pt>
                <c:pt idx="31">
                  <c:v>89888.020833333299</c:v>
                </c:pt>
                <c:pt idx="32">
                  <c:v>114438.8020833333</c:v>
                </c:pt>
                <c:pt idx="33">
                  <c:v>141342.44791666663</c:v>
                </c:pt>
                <c:pt idx="34">
                  <c:v>170598.95833333328</c:v>
                </c:pt>
                <c:pt idx="35">
                  <c:v>202208.33333333331</c:v>
                </c:pt>
                <c:pt idx="36">
                  <c:v>231804.47048611109</c:v>
                </c:pt>
                <c:pt idx="37">
                  <c:v>264519.53125</c:v>
                </c:pt>
                <c:pt idx="38">
                  <c:v>300353.515625</c:v>
                </c:pt>
                <c:pt idx="39">
                  <c:v>339306.42361111112</c:v>
                </c:pt>
                <c:pt idx="40">
                  <c:v>381378.25520833331</c:v>
                </c:pt>
                <c:pt idx="41">
                  <c:v>426569.01041666663</c:v>
                </c:pt>
                <c:pt idx="42">
                  <c:v>474896.91840277775</c:v>
                </c:pt>
                <c:pt idx="43">
                  <c:v>526361.97916666663</c:v>
                </c:pt>
                <c:pt idx="44">
                  <c:v>580964.19270833326</c:v>
                </c:pt>
                <c:pt idx="45">
                  <c:v>638703.55902777764</c:v>
                </c:pt>
                <c:pt idx="46">
                  <c:v>699580.07812499977</c:v>
                </c:pt>
                <c:pt idx="47">
                  <c:v>763593.74999999977</c:v>
                </c:pt>
              </c:numCache>
            </c:numRef>
          </c:val>
          <c:extLst>
            <c:ext xmlns:c16="http://schemas.microsoft.com/office/drawing/2014/chart" uri="{C3380CC4-5D6E-409C-BE32-E72D297353CC}">
              <c16:uniqueId val="{00000000-900D-431E-A4BC-A6ECD4CEEF17}"/>
            </c:ext>
          </c:extLst>
        </c:ser>
        <c:dLbls>
          <c:showLegendKey val="0"/>
          <c:showVal val="0"/>
          <c:showCatName val="0"/>
          <c:showSerName val="0"/>
          <c:showPercent val="0"/>
          <c:showBubbleSize val="0"/>
        </c:dLbls>
        <c:gapWidth val="150"/>
        <c:axId val="-387551632"/>
        <c:axId val="-387547280"/>
      </c:barChart>
      <c:catAx>
        <c:axId val="-387551632"/>
        <c:scaling>
          <c:orientation val="minMax"/>
        </c:scaling>
        <c:delete val="0"/>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Month</a:t>
                </a:r>
              </a:p>
            </c:rich>
          </c:tx>
          <c:layout>
            <c:manualLayout>
              <c:xMode val="edge"/>
              <c:yMode val="edge"/>
              <c:x val="0.47068318958237715"/>
              <c:y val="0.93762460415339643"/>
            </c:manualLayout>
          </c:layout>
          <c:overlay val="0"/>
        </c:title>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387547280"/>
        <c:crosses val="autoZero"/>
        <c:auto val="1"/>
        <c:lblAlgn val="ctr"/>
        <c:lblOffset val="100"/>
        <c:noMultiLvlLbl val="0"/>
      </c:catAx>
      <c:valAx>
        <c:axId val="-387547280"/>
        <c:scaling>
          <c:orientation val="minMax"/>
        </c:scaling>
        <c:delete val="0"/>
        <c:axPos val="l"/>
        <c:numFmt formatCode="&quot;$&quot;#,##0" sourceLinked="0"/>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3875516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9515908212272631E-2"/>
          <c:y val="7.508090614886731E-2"/>
          <c:w val="0.86397784535676325"/>
          <c:h val="0.81086950538949609"/>
        </c:manualLayout>
      </c:layout>
      <c:bar3DChart>
        <c:barDir val="bar"/>
        <c:grouping val="stacked"/>
        <c:varyColors val="0"/>
        <c:ser>
          <c:idx val="0"/>
          <c:order val="0"/>
          <c:tx>
            <c:strRef>
              <c:f>Resourcing!$B$36</c:f>
              <c:strCache>
                <c:ptCount val="1"/>
                <c:pt idx="0">
                  <c:v>Project Services</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DA-4DD8-98EE-DE3B98ED4C0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DA-4DD8-98EE-DE3B98ED4C0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DA-4DD8-98EE-DE3B98ED4C06}"/>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DA-4DD8-98EE-DE3B98ED4C06}"/>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DA-4DD8-98EE-DE3B98ED4C06}"/>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Resourcing!$C$35:$F$35</c:f>
              <c:numCache>
                <c:formatCode>General</c:formatCode>
                <c:ptCount val="4"/>
                <c:pt idx="0">
                  <c:v>1</c:v>
                </c:pt>
                <c:pt idx="1">
                  <c:v>2</c:v>
                </c:pt>
                <c:pt idx="2">
                  <c:v>3</c:v>
                </c:pt>
                <c:pt idx="3">
                  <c:v>4</c:v>
                </c:pt>
              </c:numCache>
            </c:numRef>
          </c:cat>
          <c:val>
            <c:numRef>
              <c:f>Resourcing!$C$36:$F$36</c:f>
              <c:numCache>
                <c:formatCode>0.0</c:formatCode>
                <c:ptCount val="4"/>
                <c:pt idx="0">
                  <c:v>0.4428125</c:v>
                </c:pt>
                <c:pt idx="1">
                  <c:v>0.94385416666666666</c:v>
                </c:pt>
                <c:pt idx="2">
                  <c:v>1.5098958333333334</c:v>
                </c:pt>
                <c:pt idx="3">
                  <c:v>2.1409375000000002</c:v>
                </c:pt>
              </c:numCache>
            </c:numRef>
          </c:val>
          <c:extLst>
            <c:ext xmlns:c16="http://schemas.microsoft.com/office/drawing/2014/chart" uri="{C3380CC4-5D6E-409C-BE32-E72D297353CC}">
              <c16:uniqueId val="{00000005-6EDA-4DD8-98EE-DE3B98ED4C06}"/>
            </c:ext>
          </c:extLst>
        </c:ser>
        <c:ser>
          <c:idx val="1"/>
          <c:order val="1"/>
          <c:tx>
            <c:strRef>
              <c:f>Resourcing!$B$37</c:f>
              <c:strCache>
                <c:ptCount val="1"/>
                <c:pt idx="0">
                  <c:v>Managed Services</c:v>
                </c:pt>
              </c:strCache>
            </c:strRef>
          </c:tx>
          <c:invertIfNegative val="0"/>
          <c:dLbls>
            <c:dLbl>
              <c:idx val="0"/>
              <c:layout>
                <c:manualLayout>
                  <c:x val="1.3641370177800447E-3"/>
                  <c:y val="-2.58899676375395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DA-4DD8-98EE-DE3B98ED4C06}"/>
                </c:ext>
              </c:extLst>
            </c:dLbl>
            <c:dLbl>
              <c:idx val="1"/>
              <c:layout>
                <c:manualLayout>
                  <c:x val="3.14847907275599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DA-4DD8-98EE-DE3B98ED4C06}"/>
                </c:ext>
              </c:extLst>
            </c:dLbl>
            <c:dLbl>
              <c:idx val="2"/>
              <c:layout>
                <c:manualLayout>
                  <c:x val="9.2239086094998111E-3"/>
                  <c:y val="-8.1081081081081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DA-4DD8-98EE-DE3B98ED4C06}"/>
                </c:ext>
              </c:extLst>
            </c:dLbl>
            <c:dLbl>
              <c:idx val="3"/>
              <c:layout>
                <c:manualLayout>
                  <c:x val="2.8622537025054635E-2"/>
                  <c:y val="-2.7027027027027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DA-4DD8-98EE-DE3B98ED4C06}"/>
                </c:ext>
              </c:extLst>
            </c:dLbl>
            <c:dLbl>
              <c:idx val="4"/>
              <c:layout>
                <c:manualLayout>
                  <c:x val="2.5760283322549069E-2"/>
                  <c:y val="-2.7027027027027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DA-4DD8-98EE-DE3B98ED4C06}"/>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Resourcing!$C$35:$F$35</c:f>
              <c:numCache>
                <c:formatCode>General</c:formatCode>
                <c:ptCount val="4"/>
                <c:pt idx="0">
                  <c:v>1</c:v>
                </c:pt>
                <c:pt idx="1">
                  <c:v>2</c:v>
                </c:pt>
                <c:pt idx="2">
                  <c:v>3</c:v>
                </c:pt>
                <c:pt idx="3">
                  <c:v>4</c:v>
                </c:pt>
              </c:numCache>
            </c:numRef>
          </c:cat>
          <c:val>
            <c:numRef>
              <c:f>Resourcing!$C$37:$F$37</c:f>
              <c:numCache>
                <c:formatCode>0.0</c:formatCode>
                <c:ptCount val="4"/>
                <c:pt idx="0">
                  <c:v>1.1171875</c:v>
                </c:pt>
                <c:pt idx="1">
                  <c:v>4.296875</c:v>
                </c:pt>
                <c:pt idx="2">
                  <c:v>9.5390625000000018</c:v>
                </c:pt>
                <c:pt idx="3">
                  <c:v>16.84375</c:v>
                </c:pt>
              </c:numCache>
            </c:numRef>
          </c:val>
          <c:extLst>
            <c:ext xmlns:c16="http://schemas.microsoft.com/office/drawing/2014/chart" uri="{C3380CC4-5D6E-409C-BE32-E72D297353CC}">
              <c16:uniqueId val="{0000000B-6EDA-4DD8-98EE-DE3B98ED4C06}"/>
            </c:ext>
          </c:extLst>
        </c:ser>
        <c:ser>
          <c:idx val="2"/>
          <c:order val="2"/>
          <c:tx>
            <c:strRef>
              <c:f>Resourcing!$B$38</c:f>
              <c:strCache>
                <c:ptCount val="1"/>
                <c:pt idx="0">
                  <c:v>Sales &amp; Marketing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Resourcing!$C$35:$F$35</c:f>
              <c:numCache>
                <c:formatCode>General</c:formatCode>
                <c:ptCount val="4"/>
                <c:pt idx="0">
                  <c:v>1</c:v>
                </c:pt>
                <c:pt idx="1">
                  <c:v>2</c:v>
                </c:pt>
                <c:pt idx="2">
                  <c:v>3</c:v>
                </c:pt>
                <c:pt idx="3">
                  <c:v>4</c:v>
                </c:pt>
              </c:numCache>
            </c:numRef>
          </c:cat>
          <c:val>
            <c:numRef>
              <c:f>Resourcing!$C$38:$F$38</c:f>
              <c:numCache>
                <c:formatCode>0.0</c:formatCode>
                <c:ptCount val="4"/>
                <c:pt idx="0">
                  <c:v>0.87644230769230769</c:v>
                </c:pt>
                <c:pt idx="1">
                  <c:v>2.4721554487179485</c:v>
                </c:pt>
                <c:pt idx="2">
                  <c:v>4.1826923076923075</c:v>
                </c:pt>
                <c:pt idx="3">
                  <c:v>5.3993990384615387</c:v>
                </c:pt>
              </c:numCache>
            </c:numRef>
          </c:val>
          <c:extLst>
            <c:ext xmlns:c16="http://schemas.microsoft.com/office/drawing/2014/chart" uri="{C3380CC4-5D6E-409C-BE32-E72D297353CC}">
              <c16:uniqueId val="{0000000C-6EDA-4DD8-98EE-DE3B98ED4C06}"/>
            </c:ext>
          </c:extLst>
        </c:ser>
        <c:dLbls>
          <c:showLegendKey val="0"/>
          <c:showVal val="0"/>
          <c:showCatName val="0"/>
          <c:showSerName val="0"/>
          <c:showPercent val="0"/>
          <c:showBubbleSize val="0"/>
        </c:dLbls>
        <c:gapWidth val="150"/>
        <c:shape val="box"/>
        <c:axId val="-387549456"/>
        <c:axId val="-387548912"/>
        <c:axId val="0"/>
      </c:bar3DChart>
      <c:catAx>
        <c:axId val="-387549456"/>
        <c:scaling>
          <c:orientation val="minMax"/>
        </c:scaling>
        <c:delete val="0"/>
        <c:axPos val="l"/>
        <c:title>
          <c:tx>
            <c:rich>
              <a:bodyPr rot="-5400000" vert="horz"/>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Year</a:t>
                </a:r>
              </a:p>
            </c:rich>
          </c:tx>
          <c:layout>
            <c:manualLayout>
              <c:xMode val="edge"/>
              <c:yMode val="edge"/>
              <c:x val="2.4755741677577409E-2"/>
              <c:y val="0.44495293428127308"/>
            </c:manualLayout>
          </c:layout>
          <c:overlay val="0"/>
        </c:title>
        <c:numFmt formatCode="General" sourceLinked="1"/>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387548912"/>
        <c:crosses val="autoZero"/>
        <c:auto val="1"/>
        <c:lblAlgn val="ctr"/>
        <c:lblOffset val="100"/>
        <c:noMultiLvlLbl val="0"/>
      </c:catAx>
      <c:valAx>
        <c:axId val="-387548912"/>
        <c:scaling>
          <c:orientation val="minMax"/>
        </c:scaling>
        <c:delete val="1"/>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FTE's Required</a:t>
                </a:r>
              </a:p>
            </c:rich>
          </c:tx>
          <c:layout>
            <c:manualLayout>
              <c:xMode val="edge"/>
              <c:yMode val="edge"/>
              <c:x val="0.46093361725399901"/>
              <c:y val="0.94596172565807912"/>
            </c:manualLayout>
          </c:layout>
          <c:overlay val="0"/>
        </c:title>
        <c:numFmt formatCode="0.0" sourceLinked="1"/>
        <c:majorTickMark val="out"/>
        <c:minorTickMark val="none"/>
        <c:tickLblPos val="nextTo"/>
        <c:crossAx val="-387549456"/>
        <c:crosses val="autoZero"/>
        <c:crossBetween val="between"/>
      </c:valAx>
    </c:plotArea>
    <c:legend>
      <c:legendPos val="t"/>
      <c:overlay val="0"/>
      <c:txPr>
        <a:bodyPr/>
        <a:lstStyle/>
        <a:p>
          <a:pPr>
            <a:defRPr>
              <a:latin typeface="Segoe UI" panose="020B0502040204020203" pitchFamily="34" charset="0"/>
              <a:cs typeface="Segoe UI" panose="020B0502040204020203"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E$56" horiz="1" max="100" page="10" val="25"/>
</file>

<file path=xl/ctrlProps/ctrlProp2.xml><?xml version="1.0" encoding="utf-8"?>
<formControlPr xmlns="http://schemas.microsoft.com/office/spreadsheetml/2009/9/main" objectType="Scroll" dx="16" fmlaLink="$E$58" horiz="1" max="100" page="10" val="5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13</xdr:row>
          <xdr:rowOff>9525</xdr:rowOff>
        </xdr:from>
        <xdr:to>
          <xdr:col>6</xdr:col>
          <xdr:colOff>1047750</xdr:colOff>
          <xdr:row>14</xdr:row>
          <xdr:rowOff>66675</xdr:rowOff>
        </xdr:to>
        <xdr:sp macro="" textlink="">
          <xdr:nvSpPr>
            <xdr:cNvPr id="1029" name="Scroll Ba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11</xdr:col>
      <xdr:colOff>150811</xdr:colOff>
      <xdr:row>1</xdr:row>
      <xdr:rowOff>33339</xdr:rowOff>
    </xdr:from>
    <xdr:to>
      <xdr:col>15</xdr:col>
      <xdr:colOff>416719</xdr:colOff>
      <xdr:row>18</xdr:row>
      <xdr:rowOff>166687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452438</xdr:colOff>
      <xdr:row>1</xdr:row>
      <xdr:rowOff>41275</xdr:rowOff>
    </xdr:from>
    <xdr:to>
      <xdr:col>18</xdr:col>
      <xdr:colOff>297655</xdr:colOff>
      <xdr:row>18</xdr:row>
      <xdr:rowOff>178594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0</xdr:colOff>
          <xdr:row>16</xdr:row>
          <xdr:rowOff>9525</xdr:rowOff>
        </xdr:from>
        <xdr:to>
          <xdr:col>7</xdr:col>
          <xdr:colOff>0</xdr:colOff>
          <xdr:row>17</xdr:row>
          <xdr:rowOff>76200</xdr:rowOff>
        </xdr:to>
        <xdr:sp macro="" textlink="">
          <xdr:nvSpPr>
            <xdr:cNvPr id="1051" name="Scroll Bar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oneCellAnchor>
    <xdr:from>
      <xdr:col>3</xdr:col>
      <xdr:colOff>190500</xdr:colOff>
      <xdr:row>21</xdr:row>
      <xdr:rowOff>154780</xdr:rowOff>
    </xdr:from>
    <xdr:ext cx="6560344" cy="1285875"/>
    <xdr:sp macro="" textlink="">
      <xdr:nvSpPr>
        <xdr:cNvPr id="4" name="TextBox 3"/>
        <xdr:cNvSpPr txBox="1"/>
      </xdr:nvSpPr>
      <xdr:spPr>
        <a:xfrm>
          <a:off x="3345656" y="4512468"/>
          <a:ext cx="6560344"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The financial models and statements contained herein are provided to you for illustrative purposes only, and should not be considered or relied upon as the actual or potential income, sales, profits, or earnings which you will realize, in whole or in part, as a result of deployment of Microsoft products and technologies. Some of the assumptions and figures provided are based on partner interviews and a survey conducted by Market Decisions Corporation of over 1,250 partners between March – May of 2015, which you may find useful in assessing your own numbers. MICROSOFT MAKES NO WARRANTIES, EXPRESS, IMPLIED OR STATUTORY, AS TO THE INFORMATION IN THIS DOCUMENT.</a:t>
          </a:r>
          <a:endParaRPr lang="en-CA" sz="1000">
            <a:solidFill>
              <a:schemeClr val="tx1"/>
            </a:solidFill>
            <a:effectLst/>
            <a:latin typeface="+mn-lt"/>
            <a:ea typeface="+mn-ea"/>
            <a:cs typeface="+mn-cs"/>
          </a:endParaRPr>
        </a:p>
        <a:p>
          <a:endParaRPr lang="en-CA"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1338035</xdr:colOff>
      <xdr:row>2</xdr:row>
      <xdr:rowOff>88899</xdr:rowOff>
    </xdr:from>
    <xdr:to>
      <xdr:col>22</xdr:col>
      <xdr:colOff>190500</xdr:colOff>
      <xdr:row>30</xdr:row>
      <xdr:rowOff>145143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576943</xdr:colOff>
      <xdr:row>0</xdr:row>
      <xdr:rowOff>82095</xdr:rowOff>
    </xdr:from>
    <xdr:to>
      <xdr:col>22</xdr:col>
      <xdr:colOff>357868</xdr:colOff>
      <xdr:row>29</xdr:row>
      <xdr:rowOff>118834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2</xdr:row>
      <xdr:rowOff>76200</xdr:rowOff>
    </xdr:from>
    <xdr:to>
      <xdr:col>15</xdr:col>
      <xdr:colOff>457201</xdr:colOff>
      <xdr:row>28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1"/>
  <sheetViews>
    <sheetView showGridLines="0" tabSelected="1" zoomScale="80" zoomScaleNormal="80" workbookViewId="0">
      <pane ySplit="3" topLeftCell="A22" activePane="bottomLeft" state="frozen"/>
      <selection activeCell="B1" sqref="B1"/>
      <selection pane="bottomLeft" activeCell="J3" sqref="J3"/>
    </sheetView>
  </sheetViews>
  <sheetFormatPr defaultColWidth="8.75" defaultRowHeight="16.5" x14ac:dyDescent="0.3"/>
  <cols>
    <col min="1" max="1" width="4.125" style="91" customWidth="1"/>
    <col min="2" max="2" width="3.25" style="92" customWidth="1"/>
    <col min="3" max="3" width="46.125" style="91" customWidth="1"/>
    <col min="4" max="16" width="12.625" style="91" customWidth="1"/>
    <col min="17" max="19" width="14" style="91" customWidth="1"/>
    <col min="20" max="33" width="12.625" style="91" customWidth="1"/>
    <col min="34" max="16384" width="8.75" style="91"/>
  </cols>
  <sheetData>
    <row r="1" spans="2:32" ht="4.5" customHeight="1" x14ac:dyDescent="0.3"/>
    <row r="2" spans="2:32" ht="30" customHeight="1" x14ac:dyDescent="0.3">
      <c r="E2" s="338" t="s">
        <v>134</v>
      </c>
      <c r="F2" s="339"/>
      <c r="G2" s="339"/>
      <c r="H2" s="339"/>
      <c r="I2" s="339"/>
      <c r="J2" s="339"/>
      <c r="K2" s="339"/>
      <c r="L2" s="339"/>
      <c r="M2" s="339"/>
      <c r="N2" s="340"/>
      <c r="O2" s="341" t="s">
        <v>369</v>
      </c>
      <c r="P2" s="342"/>
      <c r="Q2" s="343"/>
      <c r="R2" s="283" t="s">
        <v>324</v>
      </c>
      <c r="S2" s="284"/>
      <c r="T2" s="285"/>
      <c r="U2" s="344" t="s">
        <v>370</v>
      </c>
      <c r="V2" s="345"/>
      <c r="W2" s="345"/>
    </row>
    <row r="3" spans="2:32" s="95" customFormat="1" ht="78" customHeight="1" x14ac:dyDescent="0.25">
      <c r="D3" s="232" t="s">
        <v>207</v>
      </c>
      <c r="E3" s="265" t="s">
        <v>330</v>
      </c>
      <c r="F3" s="265" t="s">
        <v>331</v>
      </c>
      <c r="G3" s="265" t="s">
        <v>327</v>
      </c>
      <c r="H3" s="265" t="s">
        <v>371</v>
      </c>
      <c r="I3" s="265" t="s">
        <v>372</v>
      </c>
      <c r="J3" s="265" t="s">
        <v>328</v>
      </c>
      <c r="K3" s="265" t="s">
        <v>332</v>
      </c>
      <c r="L3" s="265" t="s">
        <v>329</v>
      </c>
      <c r="M3" s="265" t="s">
        <v>333</v>
      </c>
      <c r="N3" s="265" t="s">
        <v>353</v>
      </c>
      <c r="O3" s="265" t="s">
        <v>354</v>
      </c>
      <c r="P3" s="265" t="s">
        <v>359</v>
      </c>
      <c r="Q3" s="265" t="s">
        <v>373</v>
      </c>
      <c r="R3" s="265" t="s">
        <v>374</v>
      </c>
      <c r="S3" s="265" t="s">
        <v>375</v>
      </c>
      <c r="T3" s="265" t="s">
        <v>376</v>
      </c>
      <c r="U3" s="265" t="s">
        <v>377</v>
      </c>
      <c r="V3" s="265" t="s">
        <v>378</v>
      </c>
      <c r="W3" s="96"/>
      <c r="X3" s="96"/>
      <c r="Y3" s="96"/>
      <c r="Z3" s="96"/>
      <c r="AA3" s="96"/>
      <c r="AB3" s="96"/>
      <c r="AC3" s="96"/>
      <c r="AD3" s="96"/>
      <c r="AE3" s="96"/>
      <c r="AF3" s="96"/>
    </row>
    <row r="4" spans="2:32" ht="16.5" customHeight="1" x14ac:dyDescent="0.3">
      <c r="B4" s="92" t="s">
        <v>230</v>
      </c>
      <c r="D4" s="279" t="s">
        <v>334</v>
      </c>
      <c r="E4" s="279" t="s">
        <v>335</v>
      </c>
      <c r="F4" s="279" t="s">
        <v>336</v>
      </c>
      <c r="G4" s="279" t="s">
        <v>334</v>
      </c>
      <c r="H4" s="279" t="s">
        <v>335</v>
      </c>
      <c r="I4" s="279" t="s">
        <v>337</v>
      </c>
      <c r="J4" s="279" t="s">
        <v>338</v>
      </c>
      <c r="K4" s="279" t="s">
        <v>339</v>
      </c>
      <c r="L4" s="279" t="s">
        <v>336</v>
      </c>
      <c r="M4" s="279" t="s">
        <v>338</v>
      </c>
      <c r="N4" s="279" t="s">
        <v>355</v>
      </c>
      <c r="O4" s="279" t="s">
        <v>334</v>
      </c>
      <c r="P4" s="279" t="s">
        <v>337</v>
      </c>
      <c r="Q4" s="279" t="s">
        <v>379</v>
      </c>
      <c r="R4" s="279" t="s">
        <v>380</v>
      </c>
      <c r="S4" s="279" t="s">
        <v>381</v>
      </c>
      <c r="T4" s="279" t="s">
        <v>337</v>
      </c>
      <c r="U4" s="279" t="s">
        <v>337</v>
      </c>
      <c r="V4" s="279" t="s">
        <v>382</v>
      </c>
    </row>
    <row r="5" spans="2:32" s="272" customFormat="1" x14ac:dyDescent="0.3">
      <c r="B5" s="271"/>
      <c r="C5" s="272" t="s">
        <v>341</v>
      </c>
      <c r="D5" s="280"/>
      <c r="E5" s="280"/>
      <c r="F5" s="280"/>
      <c r="G5" s="280"/>
      <c r="H5" s="280"/>
      <c r="I5" s="280"/>
      <c r="J5" s="280"/>
      <c r="K5" s="280"/>
      <c r="L5" s="280"/>
      <c r="M5" s="280"/>
      <c r="N5" s="280"/>
      <c r="O5" s="280"/>
      <c r="P5" s="280"/>
      <c r="Q5" s="280"/>
      <c r="R5" s="280"/>
      <c r="S5" s="280"/>
      <c r="T5" s="280"/>
      <c r="U5" s="280"/>
      <c r="V5" s="280"/>
    </row>
    <row r="6" spans="2:32" x14ac:dyDescent="0.3">
      <c r="C6" s="93" t="s">
        <v>383</v>
      </c>
      <c r="D6" s="230"/>
      <c r="E6" s="230"/>
      <c r="F6" s="230"/>
      <c r="G6" s="230"/>
      <c r="H6" s="230"/>
      <c r="I6" s="230"/>
      <c r="J6" s="230"/>
      <c r="K6" s="230"/>
      <c r="L6" s="230"/>
      <c r="M6" s="229"/>
      <c r="N6" s="230"/>
      <c r="O6" s="230"/>
      <c r="P6" s="230"/>
      <c r="Q6" s="230"/>
      <c r="R6" s="230"/>
      <c r="S6" s="230"/>
      <c r="T6" s="230"/>
      <c r="U6" s="230"/>
      <c r="V6" s="230"/>
    </row>
    <row r="7" spans="2:32" x14ac:dyDescent="0.3">
      <c r="C7" s="93" t="s">
        <v>208</v>
      </c>
      <c r="D7" s="230"/>
      <c r="E7" s="230"/>
      <c r="F7" s="230"/>
      <c r="G7" s="230"/>
      <c r="H7" s="230"/>
      <c r="I7" s="230"/>
      <c r="J7" s="230"/>
      <c r="K7" s="230"/>
      <c r="L7" s="230"/>
      <c r="M7" s="230"/>
      <c r="N7" s="230"/>
      <c r="O7" s="230"/>
      <c r="P7" s="230"/>
      <c r="Q7" s="230"/>
      <c r="R7" s="230"/>
      <c r="S7" s="230"/>
      <c r="T7" s="230"/>
      <c r="U7" s="230"/>
      <c r="V7" s="230"/>
    </row>
    <row r="8" spans="2:32" x14ac:dyDescent="0.3">
      <c r="C8" s="93" t="s">
        <v>237</v>
      </c>
      <c r="D8" s="229"/>
      <c r="E8" s="231"/>
      <c r="F8" s="231"/>
      <c r="G8" s="229"/>
      <c r="H8" s="229"/>
      <c r="I8" s="229"/>
      <c r="J8" s="229"/>
      <c r="K8" s="229"/>
      <c r="L8" s="229"/>
      <c r="M8" s="229"/>
      <c r="N8" s="230"/>
      <c r="O8" s="230"/>
      <c r="P8" s="229"/>
      <c r="Q8" s="230"/>
      <c r="R8" s="230"/>
      <c r="S8" s="230"/>
      <c r="T8" s="231"/>
      <c r="U8" s="231"/>
      <c r="V8" s="231"/>
    </row>
    <row r="9" spans="2:32" x14ac:dyDescent="0.3">
      <c r="C9" s="93" t="s">
        <v>238</v>
      </c>
      <c r="D9" s="230"/>
      <c r="E9" s="231"/>
      <c r="F9" s="231"/>
      <c r="G9" s="229"/>
      <c r="H9" s="229"/>
      <c r="I9" s="229"/>
      <c r="J9" s="229"/>
      <c r="K9" s="229"/>
      <c r="L9" s="229"/>
      <c r="M9" s="229"/>
      <c r="N9" s="229"/>
      <c r="O9" s="230"/>
      <c r="P9" s="229"/>
      <c r="Q9" s="230"/>
      <c r="R9" s="230"/>
      <c r="S9" s="230"/>
      <c r="T9" s="231"/>
      <c r="U9" s="231"/>
      <c r="V9" s="231"/>
    </row>
    <row r="10" spans="2:32" x14ac:dyDescent="0.3">
      <c r="C10" s="93" t="s">
        <v>209</v>
      </c>
      <c r="D10" s="229"/>
      <c r="E10" s="231"/>
      <c r="F10" s="231"/>
      <c r="G10" s="229"/>
      <c r="H10" s="229"/>
      <c r="I10" s="229"/>
      <c r="J10" s="229"/>
      <c r="K10" s="229"/>
      <c r="L10" s="229"/>
      <c r="M10" s="229"/>
      <c r="N10" s="230"/>
      <c r="O10" s="229"/>
      <c r="P10" s="229"/>
      <c r="Q10" s="230"/>
      <c r="R10" s="231"/>
      <c r="S10" s="231"/>
      <c r="T10" s="231"/>
      <c r="U10" s="231"/>
      <c r="V10" s="231"/>
    </row>
    <row r="11" spans="2:32" x14ac:dyDescent="0.3">
      <c r="C11" s="93" t="s">
        <v>187</v>
      </c>
      <c r="D11" s="229"/>
      <c r="E11" s="231"/>
      <c r="F11" s="231"/>
      <c r="G11" s="229"/>
      <c r="H11" s="230"/>
      <c r="I11" s="229"/>
      <c r="J11" s="229"/>
      <c r="K11" s="230"/>
      <c r="L11" s="274"/>
      <c r="M11" s="231"/>
      <c r="N11" s="230"/>
      <c r="O11" s="229"/>
      <c r="P11" s="229"/>
      <c r="Q11" s="230"/>
      <c r="R11" s="231"/>
      <c r="S11" s="231"/>
      <c r="T11" s="231"/>
      <c r="U11" s="231"/>
      <c r="V11" s="231"/>
    </row>
    <row r="12" spans="2:32" x14ac:dyDescent="0.3">
      <c r="C12" s="93" t="s">
        <v>190</v>
      </c>
      <c r="D12" s="229"/>
      <c r="E12" s="230"/>
      <c r="F12" s="231"/>
      <c r="G12" s="230"/>
      <c r="H12" s="229"/>
      <c r="I12" s="229"/>
      <c r="J12" s="229"/>
      <c r="K12" s="230"/>
      <c r="L12" s="274"/>
      <c r="M12" s="229"/>
      <c r="N12" s="229"/>
      <c r="O12" s="229"/>
      <c r="P12" s="229"/>
      <c r="Q12" s="230"/>
      <c r="R12" s="231"/>
      <c r="S12" s="231"/>
      <c r="T12" s="231"/>
      <c r="U12" s="229"/>
      <c r="V12" s="229"/>
    </row>
    <row r="13" spans="2:32" x14ac:dyDescent="0.3">
      <c r="C13" s="93" t="s">
        <v>188</v>
      </c>
      <c r="D13" s="229"/>
      <c r="E13" s="230"/>
      <c r="F13" s="231"/>
      <c r="G13" s="229"/>
      <c r="H13" s="229"/>
      <c r="I13" s="229"/>
      <c r="J13" s="229"/>
      <c r="K13" s="230"/>
      <c r="L13" s="274"/>
      <c r="M13" s="229"/>
      <c r="N13" s="229"/>
      <c r="O13" s="229"/>
      <c r="P13" s="229"/>
      <c r="Q13" s="231"/>
      <c r="R13" s="231"/>
      <c r="S13" s="231"/>
      <c r="T13" s="231"/>
      <c r="U13" s="231"/>
      <c r="V13" s="231"/>
    </row>
    <row r="14" spans="2:32" x14ac:dyDescent="0.3">
      <c r="C14" s="93" t="s">
        <v>210</v>
      </c>
      <c r="D14" s="229"/>
      <c r="E14" s="229"/>
      <c r="F14" s="231"/>
      <c r="G14" s="229"/>
      <c r="H14" s="229"/>
      <c r="I14" s="229"/>
      <c r="J14" s="229"/>
      <c r="K14" s="230"/>
      <c r="L14" s="274"/>
      <c r="M14" s="229"/>
      <c r="N14" s="229"/>
      <c r="O14" s="229"/>
      <c r="P14" s="229"/>
      <c r="Q14" s="231"/>
      <c r="R14" s="231"/>
      <c r="S14" s="231"/>
      <c r="T14" s="231"/>
      <c r="U14" s="231"/>
      <c r="V14" s="231"/>
    </row>
    <row r="15" spans="2:32" x14ac:dyDescent="0.3">
      <c r="C15" s="93" t="s">
        <v>189</v>
      </c>
      <c r="D15" s="229"/>
      <c r="E15" s="229"/>
      <c r="F15" s="231"/>
      <c r="G15" s="230"/>
      <c r="H15" s="229"/>
      <c r="I15" s="229"/>
      <c r="J15" s="229"/>
      <c r="K15" s="230"/>
      <c r="L15" s="274"/>
      <c r="M15" s="229"/>
      <c r="N15" s="229"/>
      <c r="O15" s="229"/>
      <c r="P15" s="229"/>
      <c r="Q15" s="231"/>
      <c r="R15" s="231"/>
      <c r="S15" s="231"/>
      <c r="T15" s="231"/>
      <c r="U15" s="231"/>
      <c r="V15" s="231"/>
    </row>
    <row r="16" spans="2:32" x14ac:dyDescent="0.3">
      <c r="C16" s="93" t="s">
        <v>260</v>
      </c>
      <c r="D16" s="229"/>
      <c r="E16" s="229"/>
      <c r="F16" s="231"/>
      <c r="G16" s="229"/>
      <c r="H16" s="229"/>
      <c r="I16" s="229"/>
      <c r="J16" s="229"/>
      <c r="K16" s="229"/>
      <c r="L16" s="274"/>
      <c r="M16" s="229"/>
      <c r="N16" s="229"/>
      <c r="O16" s="230"/>
      <c r="P16" s="229"/>
      <c r="Q16" s="230"/>
      <c r="R16" s="230"/>
      <c r="S16" s="230"/>
      <c r="T16" s="231"/>
      <c r="U16" s="231"/>
      <c r="V16" s="231"/>
    </row>
    <row r="17" spans="2:22" x14ac:dyDescent="0.3">
      <c r="C17" s="93" t="s">
        <v>211</v>
      </c>
      <c r="D17" s="229"/>
      <c r="E17" s="231"/>
      <c r="F17" s="230"/>
      <c r="G17" s="229"/>
      <c r="H17" s="229"/>
      <c r="I17" s="229"/>
      <c r="J17" s="229"/>
      <c r="K17" s="229"/>
      <c r="L17" s="274"/>
      <c r="M17" s="229"/>
      <c r="N17" s="230"/>
      <c r="O17" s="230"/>
      <c r="P17" s="229"/>
      <c r="Q17" s="231"/>
      <c r="R17" s="231"/>
      <c r="S17" s="231"/>
      <c r="T17" s="231"/>
      <c r="U17" s="231"/>
      <c r="V17" s="231"/>
    </row>
    <row r="18" spans="2:22" x14ac:dyDescent="0.3">
      <c r="C18" s="93" t="s">
        <v>212</v>
      </c>
      <c r="D18" s="229"/>
      <c r="E18" s="231"/>
      <c r="F18" s="229"/>
      <c r="G18" s="229"/>
      <c r="H18" s="229"/>
      <c r="I18" s="229"/>
      <c r="J18" s="229"/>
      <c r="K18" s="229"/>
      <c r="L18" s="274"/>
      <c r="M18" s="229"/>
      <c r="N18" s="230"/>
      <c r="O18" s="230"/>
      <c r="P18" s="229"/>
      <c r="Q18" s="231"/>
      <c r="R18" s="231"/>
      <c r="S18" s="231"/>
      <c r="T18" s="231"/>
      <c r="U18" s="231"/>
      <c r="V18" s="231"/>
    </row>
    <row r="19" spans="2:22" x14ac:dyDescent="0.3">
      <c r="C19" s="93" t="s">
        <v>213</v>
      </c>
      <c r="D19" s="229"/>
      <c r="E19" s="231"/>
      <c r="F19" s="231"/>
      <c r="G19" s="229"/>
      <c r="H19" s="229"/>
      <c r="I19" s="229"/>
      <c r="J19" s="230"/>
      <c r="K19" s="229"/>
      <c r="L19" s="229"/>
      <c r="M19" s="229"/>
      <c r="N19" s="230"/>
      <c r="O19" s="230"/>
      <c r="P19" s="229"/>
      <c r="Q19" s="230"/>
      <c r="R19" s="230"/>
      <c r="S19" s="230"/>
      <c r="T19" s="231"/>
      <c r="U19" s="231"/>
      <c r="V19" s="231"/>
    </row>
    <row r="20" spans="2:22" x14ac:dyDescent="0.3">
      <c r="C20" s="93" t="s">
        <v>214</v>
      </c>
      <c r="D20" s="231"/>
      <c r="E20" s="230"/>
      <c r="F20" s="231"/>
      <c r="G20" s="229"/>
      <c r="H20" s="229"/>
      <c r="I20" s="229"/>
      <c r="J20" s="229"/>
      <c r="K20" s="229"/>
      <c r="L20" s="274"/>
      <c r="M20" s="229"/>
      <c r="N20" s="229"/>
      <c r="O20" s="229"/>
      <c r="P20" s="229"/>
      <c r="Q20" s="231"/>
      <c r="R20" s="231"/>
      <c r="S20" s="231"/>
      <c r="T20" s="231"/>
      <c r="U20" s="231"/>
      <c r="V20" s="231"/>
    </row>
    <row r="21" spans="2:22" x14ac:dyDescent="0.3">
      <c r="C21" s="93" t="s">
        <v>202</v>
      </c>
      <c r="D21" s="230"/>
      <c r="E21" s="230"/>
      <c r="F21" s="230"/>
      <c r="G21" s="230"/>
      <c r="H21" s="229"/>
      <c r="I21" s="230"/>
      <c r="J21" s="230"/>
      <c r="K21" s="229"/>
      <c r="L21" s="274"/>
      <c r="M21" s="230"/>
      <c r="N21" s="230"/>
      <c r="O21" s="229"/>
      <c r="P21" s="229"/>
      <c r="Q21" s="231"/>
      <c r="R21" s="231"/>
      <c r="S21" s="231"/>
      <c r="T21" s="231"/>
      <c r="U21" s="231"/>
      <c r="V21" s="231"/>
    </row>
    <row r="22" spans="2:22" x14ac:dyDescent="0.3">
      <c r="C22" s="93" t="s">
        <v>191</v>
      </c>
      <c r="D22" s="231"/>
      <c r="E22" s="231"/>
      <c r="F22" s="231"/>
      <c r="G22" s="230"/>
      <c r="H22" s="229"/>
      <c r="I22" s="230"/>
      <c r="J22" s="230"/>
      <c r="K22" s="229"/>
      <c r="L22" s="230"/>
      <c r="M22" s="229"/>
      <c r="N22" s="229"/>
      <c r="O22" s="229"/>
      <c r="P22" s="229"/>
      <c r="Q22" s="231"/>
      <c r="R22" s="231"/>
      <c r="S22" s="231"/>
      <c r="T22" s="231"/>
      <c r="U22" s="231"/>
      <c r="V22" s="231"/>
    </row>
    <row r="23" spans="2:22" x14ac:dyDescent="0.3">
      <c r="C23" s="93" t="s">
        <v>192</v>
      </c>
      <c r="D23" s="230"/>
      <c r="E23" s="231"/>
      <c r="F23" s="231"/>
      <c r="G23" s="229"/>
      <c r="H23" s="230"/>
      <c r="I23"/>
      <c r="J23" s="229"/>
      <c r="K23" s="229"/>
      <c r="L23" s="274"/>
      <c r="M23" s="229"/>
      <c r="N23" s="230"/>
      <c r="O23" s="229"/>
      <c r="P23" s="229"/>
      <c r="Q23" s="231"/>
      <c r="R23" s="231"/>
      <c r="S23" s="231"/>
      <c r="T23" s="231"/>
      <c r="U23" s="231"/>
      <c r="V23" s="231"/>
    </row>
    <row r="24" spans="2:22" x14ac:dyDescent="0.3">
      <c r="C24" s="93" t="s">
        <v>356</v>
      </c>
      <c r="D24" s="230"/>
      <c r="E24" s="231"/>
      <c r="F24" s="231"/>
      <c r="G24" s="229"/>
      <c r="H24" s="230"/>
      <c r="I24" s="229"/>
      <c r="J24" s="229"/>
      <c r="K24" s="229"/>
      <c r="L24" s="230"/>
      <c r="M24" s="229"/>
      <c r="N24" s="230"/>
      <c r="O24" s="229"/>
      <c r="P24" s="229"/>
      <c r="Q24" s="231"/>
      <c r="R24" s="231"/>
      <c r="S24" s="231"/>
      <c r="T24" s="231"/>
      <c r="U24" s="231"/>
      <c r="V24" s="231"/>
    </row>
    <row r="25" spans="2:22" x14ac:dyDescent="0.3">
      <c r="C25" s="93" t="s">
        <v>261</v>
      </c>
      <c r="D25" s="231"/>
      <c r="E25" s="231"/>
      <c r="F25" s="231"/>
      <c r="G25" s="229"/>
      <c r="H25" s="229"/>
      <c r="I25" s="229"/>
      <c r="J25" s="229"/>
      <c r="K25" s="229"/>
      <c r="L25" s="274"/>
      <c r="M25" s="229"/>
      <c r="N25" s="229"/>
      <c r="O25" s="229"/>
      <c r="P25" s="229"/>
      <c r="Q25" s="230"/>
      <c r="R25" s="230"/>
      <c r="S25" s="230"/>
      <c r="T25" s="231"/>
      <c r="U25" s="231"/>
      <c r="V25" s="231"/>
    </row>
    <row r="26" spans="2:22" ht="16.5" customHeight="1" x14ac:dyDescent="0.3">
      <c r="C26" s="93" t="s">
        <v>215</v>
      </c>
      <c r="D26" s="230"/>
      <c r="E26" s="230"/>
      <c r="F26" s="231"/>
      <c r="G26" s="230"/>
      <c r="H26" s="230"/>
      <c r="I26" s="230"/>
      <c r="J26" s="230"/>
      <c r="K26" s="230"/>
      <c r="L26" s="230"/>
      <c r="M26" s="229"/>
      <c r="N26" s="229"/>
      <c r="O26" s="230"/>
      <c r="P26" s="229"/>
      <c r="Q26" s="230"/>
      <c r="R26" s="230"/>
      <c r="S26" s="230"/>
      <c r="T26" s="229"/>
      <c r="U26" s="231"/>
      <c r="V26" s="229"/>
    </row>
    <row r="27" spans="2:22" s="93" customFormat="1" ht="16.5" customHeight="1" x14ac:dyDescent="0.3">
      <c r="B27" s="94"/>
      <c r="C27" s="93" t="s">
        <v>384</v>
      </c>
      <c r="D27" s="277"/>
      <c r="E27" s="277"/>
      <c r="F27" s="277"/>
      <c r="G27" s="277"/>
      <c r="H27" s="277"/>
      <c r="I27" s="277"/>
      <c r="J27" s="277"/>
      <c r="K27" s="277"/>
      <c r="L27" s="277"/>
      <c r="M27" s="277"/>
      <c r="N27" s="277"/>
      <c r="O27" s="277"/>
      <c r="P27" s="277"/>
      <c r="Q27" s="276"/>
      <c r="R27" s="276"/>
      <c r="S27" s="276"/>
      <c r="T27" s="277"/>
      <c r="U27" s="277"/>
      <c r="V27" s="230"/>
    </row>
    <row r="28" spans="2:22" s="93" customFormat="1" ht="16.5" customHeight="1" x14ac:dyDescent="0.3">
      <c r="B28" s="94"/>
      <c r="C28" s="93" t="s">
        <v>385</v>
      </c>
      <c r="D28" s="277"/>
      <c r="E28" s="277"/>
      <c r="F28" s="277"/>
      <c r="G28" s="277"/>
      <c r="H28" s="277"/>
      <c r="I28" s="277"/>
      <c r="J28" s="277"/>
      <c r="K28" s="277"/>
      <c r="L28" s="277"/>
      <c r="M28" s="277"/>
      <c r="N28" s="277"/>
      <c r="O28" s="277"/>
      <c r="P28" s="277"/>
      <c r="Q28" s="276"/>
      <c r="R28" s="276"/>
      <c r="S28" s="276"/>
      <c r="T28" s="277"/>
      <c r="U28" s="277"/>
      <c r="V28" s="276"/>
    </row>
    <row r="29" spans="2:22" s="93" customFormat="1" ht="16.5" customHeight="1" x14ac:dyDescent="0.3">
      <c r="B29" s="94"/>
      <c r="C29" s="93" t="s">
        <v>386</v>
      </c>
      <c r="D29" s="277"/>
      <c r="E29" s="277"/>
      <c r="F29" s="277"/>
      <c r="G29" s="277"/>
      <c r="H29" s="277"/>
      <c r="I29" s="277"/>
      <c r="J29" s="277"/>
      <c r="K29" s="277"/>
      <c r="L29" s="277"/>
      <c r="M29" s="277"/>
      <c r="N29" s="277"/>
      <c r="O29" s="277"/>
      <c r="P29" s="277"/>
      <c r="Q29" s="276"/>
      <c r="R29" s="276"/>
      <c r="S29" s="276"/>
      <c r="T29" s="277"/>
      <c r="U29" s="277"/>
      <c r="V29" s="276"/>
    </row>
    <row r="30" spans="2:22" s="93" customFormat="1" ht="16.5" customHeight="1" x14ac:dyDescent="0.3">
      <c r="B30" s="94"/>
      <c r="C30" s="93" t="s">
        <v>387</v>
      </c>
      <c r="D30" s="277"/>
      <c r="E30" s="277"/>
      <c r="F30" s="277"/>
      <c r="G30" s="277"/>
      <c r="H30" s="277"/>
      <c r="I30" s="277"/>
      <c r="J30" s="277"/>
      <c r="K30" s="277"/>
      <c r="L30" s="277"/>
      <c r="M30" s="277"/>
      <c r="N30" s="277"/>
      <c r="O30" s="277"/>
      <c r="P30" s="277"/>
      <c r="Q30" s="276"/>
      <c r="R30" s="276"/>
      <c r="S30" s="276"/>
      <c r="T30" s="277"/>
      <c r="U30" s="277"/>
      <c r="V30" s="276"/>
    </row>
    <row r="31" spans="2:22" s="93" customFormat="1" ht="16.5" customHeight="1" x14ac:dyDescent="0.3">
      <c r="B31" s="94"/>
      <c r="C31" s="93" t="s">
        <v>360</v>
      </c>
      <c r="D31" s="230"/>
      <c r="E31" s="275"/>
      <c r="F31" s="230"/>
      <c r="G31" s="276"/>
      <c r="H31" s="275"/>
      <c r="I31" s="276"/>
      <c r="J31" s="275"/>
      <c r="K31" s="275"/>
      <c r="L31" s="230"/>
      <c r="M31" s="276"/>
      <c r="N31" s="277"/>
      <c r="O31" s="277"/>
      <c r="P31" s="277"/>
      <c r="Q31" s="276"/>
      <c r="R31" s="276"/>
      <c r="S31" s="276"/>
      <c r="T31" s="276"/>
      <c r="U31" s="276"/>
      <c r="V31" s="276"/>
    </row>
    <row r="32" spans="2:22" s="93" customFormat="1" ht="16.5" customHeight="1" x14ac:dyDescent="0.3">
      <c r="B32" s="94"/>
      <c r="C32" s="93" t="s">
        <v>388</v>
      </c>
      <c r="D32" s="230"/>
      <c r="E32" s="275"/>
      <c r="F32" s="230"/>
      <c r="G32" s="276"/>
      <c r="H32" s="275"/>
      <c r="I32" s="276"/>
      <c r="J32" s="275"/>
      <c r="K32" s="275"/>
      <c r="L32" s="276"/>
      <c r="M32" s="276"/>
      <c r="N32" s="277"/>
      <c r="O32" s="277"/>
      <c r="P32" s="277"/>
      <c r="Q32" s="276"/>
      <c r="R32" s="276"/>
      <c r="S32" s="276"/>
      <c r="T32" s="277"/>
      <c r="U32" s="277"/>
      <c r="V32" s="276"/>
    </row>
    <row r="33" spans="2:22" s="93" customFormat="1" ht="16.5" customHeight="1" x14ac:dyDescent="0.3">
      <c r="B33" s="94"/>
      <c r="C33" s="93" t="s">
        <v>389</v>
      </c>
      <c r="D33" s="277"/>
      <c r="E33" s="277"/>
      <c r="F33" s="277"/>
      <c r="G33" s="277"/>
      <c r="H33" s="277"/>
      <c r="I33" s="276"/>
      <c r="J33" s="277"/>
      <c r="K33" s="277"/>
      <c r="L33" s="277"/>
      <c r="M33" s="277"/>
      <c r="N33" s="277"/>
      <c r="O33" s="277"/>
      <c r="P33" s="277"/>
      <c r="Q33" s="276"/>
      <c r="R33" s="276"/>
      <c r="S33" s="276"/>
      <c r="T33" s="277"/>
      <c r="U33" s="277"/>
      <c r="V33" s="276"/>
    </row>
    <row r="34" spans="2:22" s="93" customFormat="1" ht="16.5" customHeight="1" x14ac:dyDescent="0.3">
      <c r="B34" s="94"/>
      <c r="C34" s="93" t="s">
        <v>390</v>
      </c>
      <c r="D34" s="277"/>
      <c r="E34" s="277"/>
      <c r="F34" s="277"/>
      <c r="G34" s="277"/>
      <c r="H34" s="277"/>
      <c r="I34" s="277"/>
      <c r="J34" s="277"/>
      <c r="K34" s="277"/>
      <c r="L34" s="277"/>
      <c r="M34" s="277"/>
      <c r="N34" s="277"/>
      <c r="O34" s="277"/>
      <c r="P34" s="277"/>
      <c r="Q34" s="276"/>
      <c r="R34" s="276"/>
      <c r="S34" s="276"/>
      <c r="T34" s="277"/>
      <c r="U34" s="277"/>
      <c r="V34" s="276"/>
    </row>
    <row r="35" spans="2:22" s="93" customFormat="1" ht="16.5" customHeight="1" x14ac:dyDescent="0.3">
      <c r="B35" s="94"/>
      <c r="C35" s="93" t="s">
        <v>391</v>
      </c>
      <c r="D35" s="277"/>
      <c r="E35" s="277"/>
      <c r="F35" s="277"/>
      <c r="G35" s="277"/>
      <c r="H35" s="277"/>
      <c r="I35" s="277"/>
      <c r="J35" s="277"/>
      <c r="K35" s="277"/>
      <c r="L35" s="277"/>
      <c r="M35" s="277"/>
      <c r="N35" s="277"/>
      <c r="O35" s="277"/>
      <c r="P35" s="277"/>
      <c r="Q35" s="276"/>
      <c r="R35" s="276"/>
      <c r="S35" s="276"/>
      <c r="T35" s="277"/>
      <c r="U35" s="277"/>
      <c r="V35" s="276"/>
    </row>
    <row r="36" spans="2:22" s="93" customFormat="1" ht="16.5" customHeight="1" x14ac:dyDescent="0.3">
      <c r="B36" s="94"/>
      <c r="C36" s="93" t="s">
        <v>392</v>
      </c>
      <c r="D36" s="277"/>
      <c r="E36" s="277"/>
      <c r="F36" s="277"/>
      <c r="G36" s="277"/>
      <c r="H36" s="277"/>
      <c r="I36" s="277"/>
      <c r="J36" s="277"/>
      <c r="K36" s="277"/>
      <c r="L36" s="277"/>
      <c r="M36" s="277"/>
      <c r="N36" s="277"/>
      <c r="O36" s="277"/>
      <c r="P36" s="277"/>
      <c r="Q36" s="276"/>
      <c r="R36" s="276"/>
      <c r="S36" s="276"/>
      <c r="T36" s="277"/>
      <c r="U36" s="277"/>
      <c r="V36" s="276"/>
    </row>
    <row r="37" spans="2:22" s="93" customFormat="1" ht="16.5" customHeight="1" x14ac:dyDescent="0.3">
      <c r="B37" s="94"/>
      <c r="C37" s="93" t="s">
        <v>393</v>
      </c>
      <c r="D37" s="277"/>
      <c r="E37" s="277"/>
      <c r="F37" s="277"/>
      <c r="G37" s="277"/>
      <c r="H37" s="277"/>
      <c r="I37" s="277"/>
      <c r="J37" s="277"/>
      <c r="K37" s="277"/>
      <c r="L37" s="277"/>
      <c r="M37" s="277"/>
      <c r="N37" s="277"/>
      <c r="O37" s="277"/>
      <c r="P37" s="277"/>
      <c r="Q37" s="276"/>
      <c r="R37" s="276"/>
      <c r="S37" s="276"/>
      <c r="T37" s="277"/>
      <c r="U37" s="277"/>
      <c r="V37" s="276"/>
    </row>
    <row r="38" spans="2:22" s="93" customFormat="1" ht="16.5" customHeight="1" x14ac:dyDescent="0.3">
      <c r="B38" s="94"/>
      <c r="C38" s="93" t="s">
        <v>394</v>
      </c>
      <c r="D38" s="277"/>
      <c r="E38" s="277"/>
      <c r="F38" s="277"/>
      <c r="G38" s="277"/>
      <c r="H38" s="277"/>
      <c r="I38" s="277"/>
      <c r="J38" s="277"/>
      <c r="K38" s="277"/>
      <c r="L38" s="277"/>
      <c r="M38" s="277"/>
      <c r="N38" s="277"/>
      <c r="O38" s="277"/>
      <c r="P38" s="277"/>
      <c r="Q38" s="276"/>
      <c r="R38" s="276"/>
      <c r="S38" s="276"/>
      <c r="T38" s="277"/>
      <c r="U38" s="277"/>
      <c r="V38" s="276"/>
    </row>
    <row r="39" spans="2:22" s="93" customFormat="1" ht="16.5" customHeight="1" x14ac:dyDescent="0.3">
      <c r="B39" s="94"/>
      <c r="C39" s="93" t="s">
        <v>395</v>
      </c>
      <c r="D39" s="277"/>
      <c r="E39" s="277"/>
      <c r="F39" s="277"/>
      <c r="G39" s="277"/>
      <c r="H39" s="277"/>
      <c r="I39" s="277"/>
      <c r="J39" s="277"/>
      <c r="K39" s="277"/>
      <c r="L39" s="277"/>
      <c r="M39" s="277"/>
      <c r="N39" s="277"/>
      <c r="O39" s="277"/>
      <c r="P39" s="277"/>
      <c r="Q39" s="276"/>
      <c r="R39" s="276"/>
      <c r="S39" s="276"/>
      <c r="T39" s="277"/>
      <c r="U39" s="277"/>
      <c r="V39" s="276"/>
    </row>
    <row r="40" spans="2:22" s="93" customFormat="1" ht="16.5" customHeight="1" x14ac:dyDescent="0.3">
      <c r="B40" s="94"/>
      <c r="C40" s="93" t="s">
        <v>396</v>
      </c>
      <c r="D40" s="277"/>
      <c r="E40" s="277"/>
      <c r="F40" s="277"/>
      <c r="G40" s="277"/>
      <c r="H40" s="277"/>
      <c r="I40" s="277"/>
      <c r="J40" s="277"/>
      <c r="K40" s="277"/>
      <c r="L40" s="277"/>
      <c r="M40" s="277"/>
      <c r="N40" s="277"/>
      <c r="O40" s="277"/>
      <c r="P40" s="277"/>
      <c r="Q40" s="276"/>
      <c r="R40" s="276"/>
      <c r="S40" s="276"/>
      <c r="T40" s="277"/>
      <c r="U40" s="277"/>
      <c r="V40" s="276"/>
    </row>
    <row r="41" spans="2:22" s="93" customFormat="1" ht="16.5" customHeight="1" x14ac:dyDescent="0.3">
      <c r="B41" s="94"/>
      <c r="C41" s="93" t="s">
        <v>397</v>
      </c>
      <c r="D41" s="277"/>
      <c r="E41" s="277"/>
      <c r="F41" s="277"/>
      <c r="G41" s="277"/>
      <c r="H41" s="277"/>
      <c r="I41" s="277"/>
      <c r="J41" s="277"/>
      <c r="K41" s="277"/>
      <c r="L41" s="277"/>
      <c r="M41" s="277"/>
      <c r="N41" s="277"/>
      <c r="O41" s="277"/>
      <c r="P41" s="277"/>
      <c r="Q41" s="276"/>
      <c r="R41" s="276"/>
      <c r="S41" s="276"/>
      <c r="T41" s="277"/>
      <c r="U41" s="277"/>
      <c r="V41" s="276"/>
    </row>
    <row r="42" spans="2:22" s="93" customFormat="1" ht="16.5" customHeight="1" x14ac:dyDescent="0.3">
      <c r="B42" s="94"/>
      <c r="C42" s="93" t="s">
        <v>398</v>
      </c>
      <c r="D42" s="277"/>
      <c r="E42" s="277"/>
      <c r="F42" s="277"/>
      <c r="G42" s="277"/>
      <c r="H42" s="277"/>
      <c r="I42" s="277"/>
      <c r="J42" s="277"/>
      <c r="K42" s="277"/>
      <c r="L42" s="277"/>
      <c r="M42" s="277"/>
      <c r="N42" s="277"/>
      <c r="O42" s="277"/>
      <c r="P42" s="277"/>
      <c r="Q42" s="276"/>
      <c r="R42" s="276"/>
      <c r="S42" s="276"/>
      <c r="T42" s="277"/>
      <c r="U42" s="277"/>
      <c r="V42" s="276"/>
    </row>
    <row r="43" spans="2:22" s="93" customFormat="1" ht="16.5" customHeight="1" x14ac:dyDescent="0.3">
      <c r="B43" s="94"/>
      <c r="C43" s="93" t="s">
        <v>399</v>
      </c>
      <c r="D43" s="277"/>
      <c r="E43" s="277"/>
      <c r="F43" s="277"/>
      <c r="G43" s="277"/>
      <c r="H43" s="277"/>
      <c r="I43" s="277"/>
      <c r="J43" s="277"/>
      <c r="K43" s="277"/>
      <c r="L43" s="277"/>
      <c r="M43" s="277"/>
      <c r="N43" s="277"/>
      <c r="O43" s="277"/>
      <c r="P43" s="277"/>
      <c r="Q43" s="276"/>
      <c r="R43" s="276"/>
      <c r="S43" s="276"/>
      <c r="T43" s="277"/>
      <c r="U43" s="277"/>
      <c r="V43" s="276"/>
    </row>
    <row r="44" spans="2:22" s="93" customFormat="1" ht="16.5" customHeight="1" x14ac:dyDescent="0.3">
      <c r="B44" s="94"/>
      <c r="C44" s="93" t="s">
        <v>400</v>
      </c>
      <c r="D44" s="277"/>
      <c r="E44" s="277"/>
      <c r="F44" s="277"/>
      <c r="G44" s="277"/>
      <c r="H44" s="277"/>
      <c r="I44" s="277"/>
      <c r="J44" s="277"/>
      <c r="K44" s="277"/>
      <c r="L44" s="277"/>
      <c r="M44" s="277"/>
      <c r="N44" s="277"/>
      <c r="O44" s="277"/>
      <c r="P44" s="277"/>
      <c r="Q44" s="276"/>
      <c r="R44" s="276"/>
      <c r="S44" s="276"/>
      <c r="T44" s="277"/>
      <c r="U44" s="277"/>
      <c r="V44" s="276"/>
    </row>
    <row r="45" spans="2:22" s="93" customFormat="1" ht="16.5" customHeight="1" x14ac:dyDescent="0.3">
      <c r="B45" s="94"/>
      <c r="C45" s="93" t="s">
        <v>401</v>
      </c>
      <c r="D45" s="277"/>
      <c r="E45" s="277"/>
      <c r="F45" s="277"/>
      <c r="G45" s="277"/>
      <c r="H45" s="277"/>
      <c r="I45" s="277"/>
      <c r="J45" s="277"/>
      <c r="K45" s="277"/>
      <c r="L45" s="277"/>
      <c r="M45" s="277"/>
      <c r="N45" s="277"/>
      <c r="O45" s="277"/>
      <c r="P45" s="277"/>
      <c r="Q45" s="276"/>
      <c r="R45" s="276"/>
      <c r="S45" s="276"/>
      <c r="T45" s="277"/>
      <c r="U45" s="277"/>
      <c r="V45" s="276"/>
    </row>
    <row r="46" spans="2:22" s="93" customFormat="1" ht="16.5" customHeight="1" x14ac:dyDescent="0.3">
      <c r="B46" s="94"/>
      <c r="C46" s="93" t="s">
        <v>402</v>
      </c>
      <c r="D46" s="277"/>
      <c r="E46" s="277"/>
      <c r="F46" s="277"/>
      <c r="G46" s="277"/>
      <c r="H46" s="277"/>
      <c r="I46" s="277"/>
      <c r="J46" s="277"/>
      <c r="K46" s="277"/>
      <c r="L46" s="277"/>
      <c r="M46" s="277"/>
      <c r="N46" s="277"/>
      <c r="O46" s="277"/>
      <c r="P46" s="277"/>
      <c r="Q46" s="276"/>
      <c r="R46" s="276"/>
      <c r="S46" s="276"/>
      <c r="T46" s="277"/>
      <c r="U46" s="277"/>
      <c r="V46" s="276"/>
    </row>
    <row r="47" spans="2:22" s="93" customFormat="1" ht="16.5" customHeight="1" x14ac:dyDescent="0.3">
      <c r="B47" s="94"/>
      <c r="C47" s="93" t="s">
        <v>403</v>
      </c>
      <c r="D47" s="277"/>
      <c r="E47" s="277"/>
      <c r="F47" s="277"/>
      <c r="G47" s="277"/>
      <c r="H47" s="277"/>
      <c r="I47" s="277"/>
      <c r="J47" s="277"/>
      <c r="K47" s="277"/>
      <c r="L47" s="277"/>
      <c r="M47" s="277"/>
      <c r="N47" s="277"/>
      <c r="O47" s="277"/>
      <c r="P47" s="277"/>
      <c r="Q47" s="276"/>
      <c r="R47" s="276"/>
      <c r="S47" s="276"/>
      <c r="T47" s="277"/>
      <c r="U47" s="277"/>
      <c r="V47" s="276"/>
    </row>
    <row r="48" spans="2:22" s="93" customFormat="1" ht="16.5" customHeight="1" x14ac:dyDescent="0.3">
      <c r="B48" s="94"/>
      <c r="C48" s="93" t="s">
        <v>404</v>
      </c>
      <c r="D48" s="277"/>
      <c r="E48" s="277"/>
      <c r="F48" s="277"/>
      <c r="G48" s="277"/>
      <c r="H48" s="277"/>
      <c r="I48" s="277"/>
      <c r="J48" s="277"/>
      <c r="K48" s="277"/>
      <c r="L48" s="277"/>
      <c r="M48" s="277"/>
      <c r="N48" s="277"/>
      <c r="O48" s="277"/>
      <c r="P48" s="277"/>
      <c r="Q48" s="277"/>
      <c r="R48" s="277"/>
      <c r="S48" s="277"/>
      <c r="T48" s="276"/>
      <c r="U48" s="276"/>
      <c r="V48" s="277"/>
    </row>
    <row r="49" spans="2:22" x14ac:dyDescent="0.3">
      <c r="B49" s="92" t="s">
        <v>231</v>
      </c>
      <c r="C49" s="93"/>
      <c r="D49" s="281" t="s">
        <v>337</v>
      </c>
      <c r="E49" s="281" t="s">
        <v>337</v>
      </c>
      <c r="F49" s="281" t="s">
        <v>336</v>
      </c>
      <c r="G49" s="281" t="s">
        <v>338</v>
      </c>
      <c r="H49" s="281" t="s">
        <v>342</v>
      </c>
      <c r="I49" s="281" t="s">
        <v>342</v>
      </c>
      <c r="J49" s="281" t="s">
        <v>335</v>
      </c>
      <c r="K49" s="281" t="s">
        <v>337</v>
      </c>
      <c r="L49" s="281" t="s">
        <v>337</v>
      </c>
      <c r="M49" s="281" t="s">
        <v>336</v>
      </c>
      <c r="N49" s="279" t="s">
        <v>340</v>
      </c>
      <c r="O49" s="281" t="s">
        <v>338</v>
      </c>
      <c r="P49" s="281" t="s">
        <v>338</v>
      </c>
      <c r="Q49" s="279" t="s">
        <v>343</v>
      </c>
      <c r="R49" s="279" t="s">
        <v>344</v>
      </c>
      <c r="S49" s="279" t="s">
        <v>345</v>
      </c>
      <c r="T49" s="279" t="s">
        <v>346</v>
      </c>
      <c r="U49" s="279" t="s">
        <v>346</v>
      </c>
      <c r="V49" s="279" t="s">
        <v>346</v>
      </c>
    </row>
    <row r="50" spans="2:22" x14ac:dyDescent="0.3">
      <c r="C50" s="272" t="s">
        <v>347</v>
      </c>
      <c r="D50" s="282"/>
      <c r="E50" s="282"/>
      <c r="F50" s="282"/>
      <c r="G50" s="282"/>
      <c r="H50" s="282"/>
      <c r="I50" s="282"/>
      <c r="J50" s="282"/>
      <c r="K50" s="282"/>
      <c r="L50" s="282"/>
      <c r="M50" s="282"/>
      <c r="N50" s="280"/>
      <c r="O50" s="282"/>
      <c r="P50" s="282"/>
      <c r="Q50" s="280"/>
      <c r="R50" s="280"/>
      <c r="S50" s="280"/>
      <c r="T50" s="280"/>
      <c r="U50" s="280"/>
      <c r="V50" s="280"/>
    </row>
    <row r="51" spans="2:22" x14ac:dyDescent="0.3">
      <c r="C51" s="93" t="s">
        <v>216</v>
      </c>
      <c r="D51" s="230"/>
      <c r="E51" s="231"/>
      <c r="F51" s="231"/>
      <c r="G51" s="229"/>
      <c r="H51" s="230"/>
      <c r="I51" s="229"/>
      <c r="J51" s="230"/>
      <c r="K51" s="230"/>
      <c r="L51" s="229"/>
      <c r="M51" s="229"/>
      <c r="N51" s="230"/>
      <c r="O51" s="230"/>
      <c r="P51" s="230"/>
      <c r="Q51" s="230"/>
      <c r="R51" s="230"/>
      <c r="S51" s="230"/>
      <c r="T51" s="229"/>
      <c r="U51" s="231"/>
      <c r="V51" s="230"/>
    </row>
    <row r="52" spans="2:22" x14ac:dyDescent="0.3">
      <c r="C52" s="93" t="s">
        <v>217</v>
      </c>
      <c r="D52" s="229"/>
      <c r="E52" s="231"/>
      <c r="F52" s="231"/>
      <c r="G52" s="229"/>
      <c r="H52" s="229"/>
      <c r="I52" s="229"/>
      <c r="J52" s="229"/>
      <c r="K52" s="229"/>
      <c r="L52" s="229"/>
      <c r="M52" s="229"/>
      <c r="N52" s="230"/>
      <c r="O52" s="229"/>
      <c r="P52" s="229"/>
      <c r="Q52" s="230"/>
      <c r="R52" s="230"/>
      <c r="S52" s="230"/>
      <c r="T52" s="230"/>
      <c r="U52" s="230"/>
      <c r="V52" s="229"/>
    </row>
    <row r="53" spans="2:22" x14ac:dyDescent="0.3">
      <c r="C53" s="93" t="s">
        <v>348</v>
      </c>
      <c r="D53" s="229"/>
      <c r="E53" s="231"/>
      <c r="F53" s="231"/>
      <c r="G53" s="230"/>
      <c r="H53" s="230"/>
      <c r="I53" s="230"/>
      <c r="J53" s="230"/>
      <c r="K53" s="230"/>
      <c r="L53" s="230"/>
      <c r="M53" s="229"/>
      <c r="N53" s="230"/>
      <c r="O53" s="230"/>
      <c r="P53" s="230"/>
      <c r="Q53" s="230"/>
      <c r="R53" s="230"/>
      <c r="S53" s="230"/>
      <c r="T53" s="230"/>
      <c r="U53" s="230"/>
      <c r="V53" s="229"/>
    </row>
    <row r="54" spans="2:22" x14ac:dyDescent="0.3">
      <c r="C54" s="93" t="s">
        <v>239</v>
      </c>
      <c r="D54" s="229"/>
      <c r="E54" s="231"/>
      <c r="F54" s="231"/>
      <c r="G54" s="229"/>
      <c r="H54" s="230"/>
      <c r="I54" s="229"/>
      <c r="J54" s="229"/>
      <c r="K54" s="229"/>
      <c r="L54" s="230"/>
      <c r="M54" s="229"/>
      <c r="N54" s="229"/>
      <c r="O54" s="230"/>
      <c r="P54" s="229"/>
      <c r="Q54" s="230"/>
      <c r="R54" s="230"/>
      <c r="S54" s="230"/>
      <c r="T54" s="231"/>
      <c r="U54" s="231"/>
      <c r="V54" s="229"/>
    </row>
    <row r="55" spans="2:22" x14ac:dyDescent="0.3">
      <c r="C55" s="91" t="s">
        <v>240</v>
      </c>
      <c r="D55" s="229"/>
      <c r="E55" s="231"/>
      <c r="F55" s="231"/>
      <c r="G55" s="229"/>
      <c r="H55" s="229"/>
      <c r="I55" s="229"/>
      <c r="J55" s="229"/>
      <c r="K55" s="229"/>
      <c r="L55" s="229"/>
      <c r="M55" s="229"/>
      <c r="N55" s="229"/>
      <c r="O55" s="229"/>
      <c r="P55" s="229"/>
      <c r="Q55" s="230"/>
      <c r="R55" s="230"/>
      <c r="S55" s="230"/>
      <c r="T55" s="231"/>
      <c r="U55" s="231"/>
      <c r="V55" s="229"/>
    </row>
    <row r="56" spans="2:22" x14ac:dyDescent="0.3">
      <c r="C56" s="93" t="s">
        <v>241</v>
      </c>
      <c r="D56" s="229"/>
      <c r="E56" s="231"/>
      <c r="F56" s="273"/>
      <c r="G56" s="229"/>
      <c r="H56" s="230"/>
      <c r="I56" s="229"/>
      <c r="J56" s="229"/>
      <c r="K56" s="229"/>
      <c r="L56" s="230"/>
      <c r="M56" s="229"/>
      <c r="N56" s="229"/>
      <c r="O56" s="229"/>
      <c r="P56" s="229"/>
      <c r="Q56" s="230"/>
      <c r="R56" s="230"/>
      <c r="S56" s="230"/>
      <c r="T56" s="231"/>
      <c r="U56" s="231"/>
      <c r="V56" s="229"/>
    </row>
    <row r="57" spans="2:22" x14ac:dyDescent="0.3">
      <c r="C57" s="93" t="s">
        <v>218</v>
      </c>
      <c r="D57" s="229"/>
      <c r="E57" s="231"/>
      <c r="F57" s="231"/>
      <c r="G57" s="229"/>
      <c r="H57" s="229"/>
      <c r="I57" s="229"/>
      <c r="J57" s="229"/>
      <c r="K57" s="229"/>
      <c r="L57" s="229"/>
      <c r="M57" s="229"/>
      <c r="N57" s="229"/>
      <c r="O57" s="230"/>
      <c r="P57" s="229"/>
      <c r="Q57" s="230"/>
      <c r="R57" s="230"/>
      <c r="S57" s="230"/>
      <c r="T57" s="231"/>
      <c r="U57" s="231"/>
      <c r="V57" s="229"/>
    </row>
    <row r="58" spans="2:22" x14ac:dyDescent="0.3">
      <c r="C58" s="93" t="s">
        <v>242</v>
      </c>
      <c r="D58" s="229"/>
      <c r="E58" s="231"/>
      <c r="F58" s="231"/>
      <c r="G58" s="229"/>
      <c r="H58" s="229"/>
      <c r="I58" s="229"/>
      <c r="J58" s="229"/>
      <c r="K58" s="229"/>
      <c r="L58" s="229"/>
      <c r="M58" s="229"/>
      <c r="N58" s="229"/>
      <c r="O58" s="229"/>
      <c r="P58" s="229"/>
      <c r="Q58" s="230"/>
      <c r="R58" s="230"/>
      <c r="S58" s="230"/>
      <c r="T58" s="231"/>
      <c r="U58" s="231"/>
      <c r="V58" s="229"/>
    </row>
    <row r="59" spans="2:22" x14ac:dyDescent="0.3">
      <c r="C59" s="93" t="s">
        <v>262</v>
      </c>
      <c r="D59" s="229"/>
      <c r="E59" s="231"/>
      <c r="F59" s="231"/>
      <c r="G59" s="229"/>
      <c r="H59" s="230"/>
      <c r="I59" s="229"/>
      <c r="J59" s="230"/>
      <c r="K59" s="229"/>
      <c r="L59" s="229"/>
      <c r="M59" s="229"/>
      <c r="N59" s="230"/>
      <c r="O59" s="229"/>
      <c r="P59" s="230"/>
      <c r="Q59" s="230"/>
      <c r="R59" s="230"/>
      <c r="S59" s="230"/>
      <c r="T59" s="231"/>
      <c r="U59" s="231"/>
      <c r="V59" s="230"/>
    </row>
    <row r="60" spans="2:22" x14ac:dyDescent="0.3">
      <c r="C60" s="93" t="s">
        <v>219</v>
      </c>
      <c r="D60" s="229"/>
      <c r="E60" s="231"/>
      <c r="F60" s="231"/>
      <c r="G60" s="229"/>
      <c r="H60" s="229"/>
      <c r="I60" s="229"/>
      <c r="J60" s="229"/>
      <c r="K60" s="229"/>
      <c r="L60" s="229"/>
      <c r="M60" s="229"/>
      <c r="N60" s="230"/>
      <c r="O60" s="230"/>
      <c r="P60" s="230"/>
      <c r="Q60" s="230"/>
      <c r="R60" s="230"/>
      <c r="S60" s="230"/>
      <c r="T60" s="231"/>
      <c r="U60" s="231"/>
      <c r="V60" s="229"/>
    </row>
    <row r="61" spans="2:22" x14ac:dyDescent="0.3">
      <c r="C61" s="93" t="s">
        <v>263</v>
      </c>
      <c r="D61" s="229"/>
      <c r="E61" s="230"/>
      <c r="F61" s="231"/>
      <c r="G61" s="229"/>
      <c r="H61" s="229"/>
      <c r="I61" s="229"/>
      <c r="J61" s="229"/>
      <c r="K61" s="230"/>
      <c r="L61" s="229"/>
      <c r="M61" s="229"/>
      <c r="N61" s="229"/>
      <c r="O61" s="229"/>
      <c r="P61" s="229"/>
      <c r="Q61" s="230"/>
      <c r="R61" s="230"/>
      <c r="S61" s="230"/>
      <c r="T61" s="229"/>
      <c r="U61" s="231"/>
      <c r="V61" s="230"/>
    </row>
    <row r="62" spans="2:22" x14ac:dyDescent="0.3">
      <c r="C62" s="91" t="s">
        <v>220</v>
      </c>
      <c r="D62" s="229"/>
      <c r="E62" s="231"/>
      <c r="F62" s="231"/>
      <c r="G62" s="229"/>
      <c r="H62" s="229"/>
      <c r="I62" s="229"/>
      <c r="J62" s="229"/>
      <c r="K62" s="229"/>
      <c r="L62" s="229"/>
      <c r="M62" s="229"/>
      <c r="N62" s="229"/>
      <c r="O62" s="230"/>
      <c r="P62" s="229"/>
      <c r="Q62" s="230"/>
      <c r="R62" s="230"/>
      <c r="S62" s="230"/>
      <c r="T62" s="231"/>
      <c r="U62" s="231"/>
      <c r="V62" s="229"/>
    </row>
    <row r="63" spans="2:22" x14ac:dyDescent="0.3">
      <c r="C63" s="93" t="s">
        <v>349</v>
      </c>
      <c r="D63" s="229"/>
      <c r="E63" s="231"/>
      <c r="F63" s="231"/>
      <c r="G63" s="229"/>
      <c r="H63" s="229"/>
      <c r="I63" s="229"/>
      <c r="J63" s="229"/>
      <c r="K63" s="229"/>
      <c r="L63" s="229"/>
      <c r="M63" s="229"/>
      <c r="N63" s="229"/>
      <c r="O63" s="229"/>
      <c r="P63" s="229"/>
      <c r="Q63" s="230"/>
      <c r="R63" s="230"/>
      <c r="S63" s="230"/>
      <c r="T63" s="231"/>
      <c r="U63" s="231"/>
      <c r="V63" s="229"/>
    </row>
    <row r="64" spans="2:22" x14ac:dyDescent="0.3">
      <c r="C64" s="91" t="s">
        <v>223</v>
      </c>
      <c r="D64" s="230"/>
      <c r="E64" s="231"/>
      <c r="F64" s="231"/>
      <c r="G64" s="229"/>
      <c r="H64" s="230"/>
      <c r="I64" s="229"/>
      <c r="J64" s="229"/>
      <c r="K64" s="229"/>
      <c r="L64" s="230"/>
      <c r="M64" s="229"/>
      <c r="N64" s="230"/>
      <c r="O64" s="230"/>
      <c r="P64" s="230"/>
      <c r="Q64" s="230"/>
      <c r="R64" s="230"/>
      <c r="S64" s="230"/>
      <c r="T64" s="231"/>
      <c r="U64" s="231"/>
      <c r="V64" s="229"/>
    </row>
    <row r="65" spans="3:22" x14ac:dyDescent="0.3">
      <c r="C65" s="91" t="s">
        <v>232</v>
      </c>
      <c r="D65" s="229"/>
      <c r="E65" s="231"/>
      <c r="F65" s="231"/>
      <c r="G65" s="229"/>
      <c r="H65" s="230"/>
      <c r="I65" s="229"/>
      <c r="J65" s="229"/>
      <c r="K65" s="229"/>
      <c r="L65" s="230"/>
      <c r="M65" s="229"/>
      <c r="N65" s="230"/>
      <c r="O65" s="229"/>
      <c r="P65" s="230"/>
      <c r="Q65" s="230"/>
      <c r="R65" s="230"/>
      <c r="S65" s="230"/>
      <c r="T65" s="229"/>
      <c r="U65" s="231"/>
      <c r="V65" s="229"/>
    </row>
    <row r="66" spans="3:22" x14ac:dyDescent="0.3">
      <c r="C66" s="91" t="s">
        <v>357</v>
      </c>
      <c r="D66" s="229"/>
      <c r="E66" s="231"/>
      <c r="F66" s="231"/>
      <c r="G66" s="229"/>
      <c r="H66" s="230"/>
      <c r="I66" s="229"/>
      <c r="J66" s="229"/>
      <c r="K66" s="229"/>
      <c r="L66" s="230"/>
      <c r="M66" s="229"/>
      <c r="N66" s="230"/>
      <c r="O66" s="229"/>
      <c r="P66" s="230"/>
      <c r="Q66" s="230"/>
      <c r="R66" s="230"/>
      <c r="S66" s="230"/>
      <c r="T66" s="229"/>
      <c r="U66" s="231"/>
      <c r="V66" s="230"/>
    </row>
    <row r="67" spans="3:22" x14ac:dyDescent="0.3">
      <c r="C67" s="91" t="s">
        <v>233</v>
      </c>
      <c r="D67" s="229"/>
      <c r="E67" s="231"/>
      <c r="F67" s="231"/>
      <c r="G67" s="229"/>
      <c r="H67" s="229"/>
      <c r="I67" s="229"/>
      <c r="J67" s="229"/>
      <c r="K67" s="229"/>
      <c r="L67" s="229"/>
      <c r="M67" s="229"/>
      <c r="N67" s="229"/>
      <c r="O67" s="229"/>
      <c r="P67" s="229"/>
      <c r="Q67" s="230"/>
      <c r="R67" s="230"/>
      <c r="S67" s="230"/>
      <c r="T67" s="231"/>
      <c r="U67" s="231"/>
      <c r="V67" s="231"/>
    </row>
    <row r="68" spans="3:22" x14ac:dyDescent="0.3">
      <c r="C68" t="s">
        <v>264</v>
      </c>
      <c r="D68" s="229"/>
      <c r="E68" s="231"/>
      <c r="F68" s="231"/>
      <c r="G68" s="229"/>
      <c r="H68" s="230"/>
      <c r="I68" s="229"/>
      <c r="J68" s="229"/>
      <c r="K68" s="229"/>
      <c r="L68" s="229"/>
      <c r="M68" s="229"/>
      <c r="N68" s="229"/>
      <c r="O68" s="229"/>
      <c r="P68" s="230"/>
      <c r="Q68" s="230"/>
      <c r="R68" s="230"/>
      <c r="S68" s="230"/>
      <c r="T68" s="231"/>
      <c r="U68" s="231"/>
      <c r="V68" s="231"/>
    </row>
    <row r="69" spans="3:22" x14ac:dyDescent="0.3">
      <c r="C69" s="91" t="s">
        <v>265</v>
      </c>
      <c r="D69" s="229"/>
      <c r="E69" s="231"/>
      <c r="F69" s="231"/>
      <c r="G69" s="229"/>
      <c r="H69" s="229"/>
      <c r="I69" s="229"/>
      <c r="J69" s="229"/>
      <c r="K69" s="229"/>
      <c r="L69" s="229"/>
      <c r="M69" s="229"/>
      <c r="N69" s="229"/>
      <c r="O69" s="229"/>
      <c r="P69" s="229"/>
      <c r="Q69" s="230"/>
      <c r="R69" s="230"/>
      <c r="S69" s="230"/>
      <c r="T69" s="231"/>
      <c r="U69" s="231"/>
      <c r="V69" s="231"/>
    </row>
    <row r="70" spans="3:22" ht="15.75" customHeight="1" x14ac:dyDescent="0.3">
      <c r="C70" s="91" t="s">
        <v>266</v>
      </c>
      <c r="D70" s="229"/>
      <c r="E70" s="231"/>
      <c r="F70" s="231"/>
      <c r="G70" s="229"/>
      <c r="H70" s="229"/>
      <c r="I70" s="229"/>
      <c r="J70" s="229"/>
      <c r="K70" s="229"/>
      <c r="L70" s="229"/>
      <c r="M70" s="229"/>
      <c r="N70" s="229"/>
      <c r="O70" s="229"/>
      <c r="P70" s="229"/>
      <c r="Q70" s="230"/>
      <c r="R70" s="230"/>
      <c r="S70" s="230"/>
      <c r="T70" s="231"/>
      <c r="U70" s="231"/>
      <c r="V70" s="231"/>
    </row>
    <row r="71" spans="3:22" x14ac:dyDescent="0.3">
      <c r="C71" s="93" t="s">
        <v>221</v>
      </c>
      <c r="D71" s="230"/>
      <c r="E71" s="230"/>
      <c r="F71" s="230"/>
      <c r="G71" s="229"/>
      <c r="H71" s="230"/>
      <c r="I71" s="229"/>
      <c r="J71" s="229"/>
      <c r="K71" s="229"/>
      <c r="L71" s="229"/>
      <c r="M71" s="229"/>
      <c r="N71" s="230"/>
      <c r="O71" s="230"/>
      <c r="P71" s="229"/>
      <c r="Q71" s="231"/>
      <c r="R71" s="231"/>
      <c r="S71" s="231"/>
      <c r="T71" s="231"/>
      <c r="U71" s="231"/>
      <c r="V71" s="231"/>
    </row>
    <row r="72" spans="3:22" x14ac:dyDescent="0.3">
      <c r="C72" s="93" t="s">
        <v>222</v>
      </c>
      <c r="D72" s="230"/>
      <c r="E72" s="231"/>
      <c r="F72" s="229"/>
      <c r="G72" s="229"/>
      <c r="H72" s="229"/>
      <c r="I72" s="229"/>
      <c r="J72" s="229"/>
      <c r="K72" s="229"/>
      <c r="L72" s="229"/>
      <c r="M72" s="229"/>
      <c r="N72" s="229"/>
      <c r="O72" s="229"/>
      <c r="P72" s="229"/>
      <c r="Q72" s="231"/>
      <c r="R72" s="231"/>
      <c r="S72" s="231"/>
      <c r="T72" s="231"/>
      <c r="U72" s="231"/>
      <c r="V72" s="231"/>
    </row>
    <row r="73" spans="3:22" ht="49.5" x14ac:dyDescent="0.3">
      <c r="C73" s="266" t="s">
        <v>267</v>
      </c>
      <c r="D73" s="229"/>
      <c r="E73" s="231"/>
      <c r="F73" s="231"/>
      <c r="G73" s="229"/>
      <c r="H73" s="229"/>
      <c r="I73" s="229"/>
      <c r="J73" s="230"/>
      <c r="K73" s="229"/>
      <c r="L73" s="229"/>
      <c r="M73" s="229"/>
      <c r="N73" s="229"/>
      <c r="O73" s="229"/>
      <c r="P73" s="229"/>
      <c r="Q73" s="231"/>
      <c r="R73" s="231"/>
      <c r="S73" s="231"/>
      <c r="T73" s="231"/>
      <c r="U73" s="231"/>
      <c r="V73" s="230"/>
    </row>
    <row r="74" spans="3:22" x14ac:dyDescent="0.3">
      <c r="C74" s="93" t="s">
        <v>405</v>
      </c>
      <c r="D74" s="229"/>
      <c r="E74" s="230"/>
      <c r="F74" s="231"/>
      <c r="G74" s="229"/>
      <c r="H74" s="229"/>
      <c r="I74" s="229"/>
      <c r="J74" s="229"/>
      <c r="K74" s="229"/>
      <c r="L74" s="229"/>
      <c r="M74" s="229"/>
      <c r="N74" s="229"/>
      <c r="O74" s="229"/>
      <c r="P74" s="229"/>
      <c r="Q74" s="231"/>
      <c r="R74" s="231"/>
      <c r="S74" s="231"/>
      <c r="T74" s="231"/>
      <c r="U74" s="231"/>
      <c r="V74" s="231"/>
    </row>
    <row r="75" spans="3:22" x14ac:dyDescent="0.3">
      <c r="C75" s="93" t="s">
        <v>193</v>
      </c>
      <c r="D75" s="229"/>
      <c r="E75" s="230"/>
      <c r="F75" s="231"/>
      <c r="G75" s="229"/>
      <c r="H75" s="229"/>
      <c r="I75" s="229"/>
      <c r="J75" s="229"/>
      <c r="K75" s="229"/>
      <c r="L75" s="229"/>
      <c r="M75" s="229"/>
      <c r="N75" s="229"/>
      <c r="O75" s="229"/>
      <c r="P75" s="229"/>
      <c r="Q75" s="231"/>
      <c r="R75" s="231"/>
      <c r="S75" s="231"/>
      <c r="T75" s="231"/>
      <c r="U75" s="231"/>
      <c r="V75" s="231"/>
    </row>
    <row r="76" spans="3:22" x14ac:dyDescent="0.3">
      <c r="C76" s="93" t="s">
        <v>224</v>
      </c>
      <c r="D76" s="229"/>
      <c r="E76" s="230"/>
      <c r="F76" s="229"/>
      <c r="G76" s="229"/>
      <c r="H76" s="229"/>
      <c r="I76" s="229"/>
      <c r="J76" s="229"/>
      <c r="K76" s="229"/>
      <c r="L76" s="229"/>
      <c r="M76" s="229"/>
      <c r="N76" s="229"/>
      <c r="O76" s="229"/>
      <c r="P76" s="229"/>
      <c r="Q76" s="231"/>
      <c r="R76" s="231"/>
      <c r="S76" s="231"/>
      <c r="T76" s="231"/>
      <c r="U76" s="231"/>
      <c r="V76" s="231"/>
    </row>
    <row r="77" spans="3:22" x14ac:dyDescent="0.3">
      <c r="C77" s="93" t="s">
        <v>205</v>
      </c>
      <c r="D77" s="229"/>
      <c r="E77" s="231"/>
      <c r="F77" s="231"/>
      <c r="G77" s="229"/>
      <c r="H77" s="229"/>
      <c r="I77" s="229"/>
      <c r="J77" s="229"/>
      <c r="K77" s="229"/>
      <c r="L77" s="229"/>
      <c r="M77" s="229"/>
      <c r="N77" s="230"/>
      <c r="O77" s="229"/>
      <c r="P77" s="229"/>
      <c r="Q77" s="231"/>
      <c r="R77" s="231"/>
      <c r="S77" s="231"/>
      <c r="T77" s="231"/>
      <c r="U77" s="231"/>
      <c r="V77" s="230"/>
    </row>
    <row r="78" spans="3:22" x14ac:dyDescent="0.3">
      <c r="C78" s="93" t="s">
        <v>234</v>
      </c>
      <c r="D78" s="230"/>
      <c r="E78" s="230"/>
      <c r="F78" s="230"/>
      <c r="G78" s="229"/>
      <c r="H78" s="230"/>
      <c r="I78" s="230"/>
      <c r="J78" s="230"/>
      <c r="K78" s="230"/>
      <c r="L78" s="229"/>
      <c r="M78" s="230"/>
      <c r="N78" s="230"/>
      <c r="O78" s="229"/>
      <c r="P78" s="230"/>
      <c r="Q78" s="231"/>
      <c r="R78" s="231"/>
      <c r="S78" s="231"/>
      <c r="T78" s="231"/>
      <c r="U78" s="231"/>
      <c r="V78" s="231"/>
    </row>
    <row r="79" spans="3:22" x14ac:dyDescent="0.3">
      <c r="C79" s="93" t="s">
        <v>206</v>
      </c>
      <c r="D79" s="229"/>
      <c r="E79" s="231"/>
      <c r="F79" s="231"/>
      <c r="G79" s="229"/>
      <c r="H79" s="229"/>
      <c r="I79" s="229"/>
      <c r="J79" s="229"/>
      <c r="K79" s="229"/>
      <c r="L79" s="229"/>
      <c r="M79" s="229"/>
      <c r="N79" s="230"/>
      <c r="O79" s="229"/>
      <c r="P79" s="229"/>
      <c r="Q79" s="231"/>
      <c r="R79" s="231"/>
      <c r="S79" s="231"/>
      <c r="T79" s="231"/>
      <c r="U79" s="231"/>
      <c r="V79" s="231"/>
    </row>
    <row r="80" spans="3:22" x14ac:dyDescent="0.3">
      <c r="C80" s="93" t="s">
        <v>268</v>
      </c>
      <c r="D80" s="229"/>
      <c r="E80" s="231"/>
      <c r="F80" s="231"/>
      <c r="G80" s="229"/>
      <c r="H80" s="229"/>
      <c r="I80" s="229"/>
      <c r="J80" s="229"/>
      <c r="K80" s="229"/>
      <c r="L80" s="229"/>
      <c r="M80" s="229"/>
      <c r="N80" s="230"/>
      <c r="O80" s="230"/>
      <c r="P80" s="229"/>
      <c r="Q80" s="231"/>
      <c r="R80" s="231"/>
      <c r="S80" s="231"/>
      <c r="T80" s="231"/>
      <c r="U80" s="231"/>
      <c r="V80" s="231"/>
    </row>
    <row r="81" spans="2:22" x14ac:dyDescent="0.3">
      <c r="C81" s="93" t="s">
        <v>225</v>
      </c>
      <c r="D81" s="229"/>
      <c r="E81" s="231"/>
      <c r="F81" s="231"/>
      <c r="G81" s="229"/>
      <c r="H81" s="229"/>
      <c r="I81" s="229"/>
      <c r="J81" s="229"/>
      <c r="K81" s="229"/>
      <c r="L81" s="229"/>
      <c r="M81" s="229"/>
      <c r="N81" s="230"/>
      <c r="O81" s="229"/>
      <c r="P81" s="229"/>
      <c r="Q81" s="231"/>
      <c r="R81" s="231"/>
      <c r="S81" s="231"/>
      <c r="T81" s="231"/>
      <c r="U81" s="231"/>
      <c r="V81" s="231"/>
    </row>
    <row r="82" spans="2:22" x14ac:dyDescent="0.3">
      <c r="B82" s="91"/>
      <c r="C82" s="93" t="s">
        <v>201</v>
      </c>
      <c r="D82" s="230"/>
      <c r="E82" s="231"/>
      <c r="F82" s="231"/>
      <c r="G82" s="229"/>
      <c r="H82" s="229"/>
      <c r="I82" s="230"/>
      <c r="J82" s="230"/>
      <c r="K82" s="229"/>
      <c r="L82" s="230"/>
      <c r="M82" s="229"/>
      <c r="N82" s="230"/>
      <c r="O82" s="229"/>
      <c r="P82" s="229"/>
      <c r="Q82" s="231"/>
      <c r="R82" s="231"/>
      <c r="S82" s="231"/>
      <c r="T82" s="231"/>
      <c r="U82" s="231"/>
      <c r="V82" s="231"/>
    </row>
    <row r="83" spans="2:22" x14ac:dyDescent="0.3">
      <c r="B83" s="91"/>
      <c r="C83" s="93" t="s">
        <v>204</v>
      </c>
      <c r="D83" s="229"/>
      <c r="E83" s="231"/>
      <c r="F83" s="231"/>
      <c r="G83" s="229"/>
      <c r="H83" s="229"/>
      <c r="I83" s="229"/>
      <c r="J83" s="229"/>
      <c r="K83" s="229"/>
      <c r="L83" s="229"/>
      <c r="M83" s="229"/>
      <c r="N83" s="230"/>
      <c r="O83" s="230"/>
      <c r="P83" s="229"/>
      <c r="Q83" s="231"/>
      <c r="R83" s="231"/>
      <c r="S83" s="231"/>
      <c r="T83" s="231"/>
      <c r="U83" s="231"/>
      <c r="V83" s="231"/>
    </row>
    <row r="84" spans="2:22" x14ac:dyDescent="0.3">
      <c r="B84" s="91"/>
      <c r="C84" s="91" t="s">
        <v>269</v>
      </c>
      <c r="D84" s="275"/>
      <c r="E84" s="278"/>
      <c r="F84" s="278"/>
      <c r="G84" s="277"/>
      <c r="H84" s="277"/>
      <c r="I84" s="277"/>
      <c r="J84" s="277"/>
      <c r="K84" s="277"/>
      <c r="L84" s="230"/>
      <c r="M84" s="277"/>
      <c r="N84" s="229"/>
      <c r="O84" s="229"/>
      <c r="P84" s="229"/>
      <c r="Q84" s="231"/>
      <c r="R84" s="231"/>
      <c r="S84" s="231"/>
      <c r="T84" s="231"/>
      <c r="U84" s="231"/>
      <c r="V84" s="231"/>
    </row>
    <row r="85" spans="2:22" ht="16.5" customHeight="1" x14ac:dyDescent="0.3">
      <c r="B85" s="91"/>
      <c r="C85" s="91" t="s">
        <v>406</v>
      </c>
      <c r="D85" s="277"/>
      <c r="E85" s="278"/>
      <c r="F85" s="278"/>
      <c r="G85" s="277"/>
      <c r="H85" s="277"/>
      <c r="I85" s="277"/>
      <c r="J85" s="277"/>
      <c r="K85" s="277"/>
      <c r="L85" s="277"/>
      <c r="M85" s="277"/>
      <c r="N85" s="277"/>
      <c r="O85" s="277"/>
      <c r="P85" s="277"/>
      <c r="Q85" s="278"/>
      <c r="R85" s="278"/>
      <c r="S85" s="278"/>
      <c r="T85" s="278"/>
      <c r="U85" s="278"/>
      <c r="V85" s="230"/>
    </row>
    <row r="86" spans="2:22" ht="16.5" customHeight="1" x14ac:dyDescent="0.3">
      <c r="B86" s="91"/>
      <c r="C86" s="91" t="s">
        <v>407</v>
      </c>
      <c r="D86" s="277"/>
      <c r="E86" s="278"/>
      <c r="F86" s="278"/>
      <c r="G86" s="277"/>
      <c r="H86" s="277"/>
      <c r="I86" s="277"/>
      <c r="J86" s="277"/>
      <c r="K86" s="277"/>
      <c r="L86" s="277"/>
      <c r="M86" s="277"/>
      <c r="N86" s="277"/>
      <c r="O86" s="277"/>
      <c r="P86" s="277"/>
      <c r="Q86" s="278"/>
      <c r="R86" s="278"/>
      <c r="S86" s="278"/>
      <c r="T86" s="276"/>
      <c r="U86" s="276"/>
      <c r="V86" s="278"/>
    </row>
    <row r="87" spans="2:22" ht="16.5" customHeight="1" x14ac:dyDescent="0.3">
      <c r="B87" s="91"/>
      <c r="C87" s="91" t="s">
        <v>408</v>
      </c>
      <c r="D87" s="277"/>
      <c r="E87" s="278"/>
      <c r="F87" s="278"/>
      <c r="G87" s="277"/>
      <c r="H87" s="277"/>
      <c r="I87" s="277"/>
      <c r="J87" s="277"/>
      <c r="K87" s="277"/>
      <c r="L87" s="277"/>
      <c r="M87" s="277"/>
      <c r="N87" s="277"/>
      <c r="O87" s="277"/>
      <c r="P87" s="277"/>
      <c r="Q87" s="278"/>
      <c r="R87" s="278"/>
      <c r="S87" s="278"/>
      <c r="T87" s="276"/>
      <c r="U87" s="276"/>
      <c r="V87" s="278"/>
    </row>
    <row r="88" spans="2:22" ht="16.5" customHeight="1" x14ac:dyDescent="0.3">
      <c r="B88" s="91"/>
      <c r="C88" s="91" t="s">
        <v>409</v>
      </c>
      <c r="D88" s="277"/>
      <c r="E88" s="278"/>
      <c r="F88" s="278"/>
      <c r="G88" s="277"/>
      <c r="H88" s="277"/>
      <c r="I88" s="277"/>
      <c r="J88" s="277"/>
      <c r="K88" s="277"/>
      <c r="L88" s="277"/>
      <c r="M88" s="277"/>
      <c r="N88" s="277"/>
      <c r="O88" s="277"/>
      <c r="P88" s="277"/>
      <c r="Q88" s="278"/>
      <c r="R88" s="278"/>
      <c r="S88" s="278"/>
      <c r="T88" s="276"/>
      <c r="U88" s="276"/>
      <c r="V88" s="278"/>
    </row>
    <row r="89" spans="2:22" ht="16.5" customHeight="1" x14ac:dyDescent="0.3">
      <c r="B89" s="91"/>
      <c r="C89" s="91" t="s">
        <v>410</v>
      </c>
      <c r="D89" s="277"/>
      <c r="E89" s="278"/>
      <c r="F89" s="278"/>
      <c r="G89" s="277"/>
      <c r="H89" s="277"/>
      <c r="I89" s="277"/>
      <c r="J89" s="277"/>
      <c r="K89" s="277"/>
      <c r="L89" s="277"/>
      <c r="M89" s="277"/>
      <c r="N89" s="277"/>
      <c r="O89" s="277"/>
      <c r="P89" s="277"/>
      <c r="Q89" s="278"/>
      <c r="R89" s="278"/>
      <c r="S89" s="278"/>
      <c r="T89" s="276"/>
      <c r="U89" s="276"/>
      <c r="V89" s="278"/>
    </row>
    <row r="90" spans="2:22" s="93" customFormat="1" ht="16.5" customHeight="1" x14ac:dyDescent="0.3">
      <c r="C90" t="s">
        <v>361</v>
      </c>
      <c r="D90" s="275"/>
      <c r="E90" s="278"/>
      <c r="F90" s="278"/>
      <c r="G90" s="277"/>
      <c r="H90" s="277"/>
      <c r="I90" s="277"/>
      <c r="J90" s="277"/>
      <c r="K90" s="277"/>
      <c r="L90" s="230"/>
      <c r="M90" s="277"/>
      <c r="N90" s="277"/>
      <c r="O90" s="277"/>
      <c r="P90" s="277"/>
      <c r="Q90" s="278"/>
      <c r="R90" s="278"/>
      <c r="S90" s="278"/>
      <c r="T90" s="278"/>
      <c r="U90" s="278"/>
      <c r="V90" s="277"/>
    </row>
    <row r="91" spans="2:22" s="93" customFormat="1" ht="16.5" customHeight="1" x14ac:dyDescent="0.3">
      <c r="C91" s="91" t="s">
        <v>362</v>
      </c>
      <c r="D91" s="230"/>
      <c r="E91" s="278"/>
      <c r="F91" s="230"/>
      <c r="G91" s="276"/>
      <c r="H91" s="277"/>
      <c r="I91" s="276"/>
      <c r="J91" s="277"/>
      <c r="K91" s="277"/>
      <c r="L91" s="276"/>
      <c r="M91" s="276"/>
      <c r="N91" s="277"/>
      <c r="O91" s="277"/>
      <c r="P91" s="277"/>
      <c r="Q91" s="278"/>
      <c r="R91" s="278"/>
      <c r="S91" s="278"/>
      <c r="T91" s="278"/>
      <c r="U91" s="278"/>
      <c r="V91" s="277"/>
    </row>
    <row r="92" spans="2:22" s="93" customFormat="1" ht="16.5" customHeight="1" x14ac:dyDescent="0.3">
      <c r="C92" s="91" t="s">
        <v>363</v>
      </c>
      <c r="D92" s="276"/>
      <c r="E92" s="278"/>
      <c r="F92" s="230"/>
      <c r="G92" s="276"/>
      <c r="H92" s="277"/>
      <c r="I92" s="276"/>
      <c r="J92" s="277"/>
      <c r="K92" s="277"/>
      <c r="L92" s="276"/>
      <c r="M92" s="276"/>
      <c r="N92" s="277"/>
      <c r="O92" s="277"/>
      <c r="P92" s="277"/>
      <c r="Q92" s="278"/>
      <c r="R92" s="278"/>
      <c r="S92" s="278"/>
      <c r="T92" s="278"/>
      <c r="U92" s="278"/>
      <c r="V92" s="277"/>
    </row>
    <row r="93" spans="2:22" s="93" customFormat="1" ht="16.5" customHeight="1" x14ac:dyDescent="0.3">
      <c r="C93" s="93" t="s">
        <v>364</v>
      </c>
      <c r="D93" s="276"/>
      <c r="E93" s="277"/>
      <c r="F93" s="277"/>
      <c r="G93" s="277"/>
      <c r="H93" s="277"/>
      <c r="I93" s="277"/>
      <c r="J93" s="277"/>
      <c r="K93" s="277"/>
      <c r="L93" s="277"/>
      <c r="M93" s="277"/>
      <c r="N93" s="277"/>
      <c r="O93" s="277"/>
      <c r="P93" s="277"/>
      <c r="Q93" s="277"/>
      <c r="R93" s="277"/>
      <c r="S93" s="277"/>
      <c r="T93" s="277"/>
      <c r="U93" s="277"/>
      <c r="V93" s="277"/>
    </row>
    <row r="94" spans="2:22" s="93" customFormat="1" ht="16.5" customHeight="1" x14ac:dyDescent="0.3">
      <c r="C94" s="93" t="s">
        <v>365</v>
      </c>
      <c r="D94" s="277"/>
      <c r="E94" s="277"/>
      <c r="F94" s="277"/>
      <c r="G94" s="276"/>
      <c r="H94" s="277"/>
      <c r="I94" s="277"/>
      <c r="J94" s="277"/>
      <c r="K94" s="277"/>
      <c r="L94" s="277"/>
      <c r="M94" s="277"/>
      <c r="N94" s="277"/>
      <c r="O94" s="277"/>
      <c r="P94" s="277"/>
      <c r="Q94" s="277"/>
      <c r="R94" s="277"/>
      <c r="S94" s="277"/>
      <c r="T94" s="277"/>
      <c r="U94" s="277"/>
      <c r="V94" s="277"/>
    </row>
    <row r="95" spans="2:22" s="93" customFormat="1" ht="16.5" customHeight="1" x14ac:dyDescent="0.3">
      <c r="C95" s="93" t="s">
        <v>366</v>
      </c>
      <c r="D95" s="277"/>
      <c r="E95" s="277"/>
      <c r="F95" s="277"/>
      <c r="G95" s="277"/>
      <c r="H95" s="277"/>
      <c r="I95" s="277"/>
      <c r="J95" s="277"/>
      <c r="K95" s="277"/>
      <c r="L95" s="276"/>
      <c r="M95" s="277"/>
      <c r="N95" s="277"/>
      <c r="O95" s="277"/>
      <c r="P95" s="277"/>
      <c r="Q95" s="277"/>
      <c r="R95" s="277"/>
      <c r="S95" s="277"/>
      <c r="T95" s="277"/>
      <c r="U95" s="277"/>
      <c r="V95" s="277"/>
    </row>
    <row r="96" spans="2:22" s="93" customFormat="1" ht="16.5" customHeight="1" x14ac:dyDescent="0.3">
      <c r="C96" s="93" t="s">
        <v>367</v>
      </c>
      <c r="D96" s="277"/>
      <c r="E96" s="277"/>
      <c r="F96" s="277"/>
      <c r="G96" s="277"/>
      <c r="H96" s="277"/>
      <c r="I96" s="277"/>
      <c r="J96" s="277"/>
      <c r="K96" s="277"/>
      <c r="L96" s="276"/>
      <c r="M96" s="277"/>
      <c r="N96" s="277"/>
      <c r="O96" s="277"/>
      <c r="P96" s="277"/>
      <c r="Q96" s="277"/>
      <c r="R96" s="277"/>
      <c r="S96" s="277"/>
      <c r="T96" s="277"/>
      <c r="U96" s="277"/>
      <c r="V96" s="277"/>
    </row>
    <row r="97" spans="2:22" s="93" customFormat="1" ht="16.5" customHeight="1" x14ac:dyDescent="0.3">
      <c r="C97" s="93" t="s">
        <v>368</v>
      </c>
      <c r="D97" s="277"/>
      <c r="E97" s="277"/>
      <c r="F97" s="277"/>
      <c r="G97" s="277"/>
      <c r="H97" s="277"/>
      <c r="I97" s="277"/>
      <c r="J97" s="277"/>
      <c r="K97" s="277"/>
      <c r="L97" s="276"/>
      <c r="M97" s="277"/>
      <c r="N97" s="277"/>
      <c r="O97" s="277"/>
      <c r="P97" s="277"/>
      <c r="Q97" s="277"/>
      <c r="R97" s="277"/>
      <c r="S97" s="277"/>
      <c r="T97" s="277"/>
      <c r="U97" s="277"/>
      <c r="V97" s="277"/>
    </row>
    <row r="98" spans="2:22" x14ac:dyDescent="0.3">
      <c r="B98" s="92" t="s">
        <v>235</v>
      </c>
      <c r="D98" s="281" t="s">
        <v>336</v>
      </c>
      <c r="E98" s="281" t="s">
        <v>336</v>
      </c>
      <c r="F98" s="281" t="s">
        <v>338</v>
      </c>
      <c r="G98" s="281" t="s">
        <v>338</v>
      </c>
      <c r="H98" s="281" t="s">
        <v>342</v>
      </c>
      <c r="I98" s="281" t="s">
        <v>342</v>
      </c>
      <c r="J98" s="281" t="s">
        <v>337</v>
      </c>
      <c r="K98" s="281" t="s">
        <v>338</v>
      </c>
      <c r="L98" s="281" t="s">
        <v>336</v>
      </c>
      <c r="M98" s="281" t="s">
        <v>342</v>
      </c>
      <c r="N98" s="279" t="s">
        <v>340</v>
      </c>
      <c r="O98" s="281" t="s">
        <v>338</v>
      </c>
      <c r="P98" s="281" t="s">
        <v>338</v>
      </c>
      <c r="Q98" s="279" t="s">
        <v>346</v>
      </c>
      <c r="R98" s="279" t="s">
        <v>334</v>
      </c>
      <c r="S98" s="279" t="s">
        <v>343</v>
      </c>
      <c r="T98" s="279" t="s">
        <v>346</v>
      </c>
      <c r="U98" s="279" t="s">
        <v>346</v>
      </c>
      <c r="V98" s="279" t="s">
        <v>411</v>
      </c>
    </row>
    <row r="99" spans="2:22" x14ac:dyDescent="0.3">
      <c r="C99" s="272" t="s">
        <v>350</v>
      </c>
      <c r="D99" s="282"/>
      <c r="E99" s="282"/>
      <c r="F99" s="282"/>
      <c r="G99" s="282"/>
      <c r="H99" s="282"/>
      <c r="I99" s="282"/>
      <c r="J99" s="282"/>
      <c r="K99" s="282"/>
      <c r="L99" s="282"/>
      <c r="M99" s="282"/>
      <c r="N99" s="280"/>
      <c r="O99" s="282"/>
      <c r="P99" s="282"/>
      <c r="Q99" s="280"/>
      <c r="R99" s="280"/>
      <c r="S99" s="280"/>
      <c r="T99" s="280"/>
      <c r="U99" s="280"/>
      <c r="V99" s="280"/>
    </row>
    <row r="100" spans="2:22" x14ac:dyDescent="0.3">
      <c r="B100" s="94"/>
      <c r="C100" s="93" t="s">
        <v>194</v>
      </c>
      <c r="D100" s="274"/>
      <c r="E100" s="231"/>
      <c r="F100" s="231"/>
      <c r="G100" s="230"/>
      <c r="H100" s="230"/>
      <c r="I100" s="229"/>
      <c r="J100" s="229"/>
      <c r="K100" s="230"/>
      <c r="L100" s="229"/>
      <c r="M100" s="229"/>
      <c r="N100" s="230"/>
      <c r="O100" s="230"/>
      <c r="P100" s="230"/>
      <c r="Q100" s="231"/>
      <c r="R100" s="231"/>
      <c r="S100" s="231"/>
      <c r="T100" s="231"/>
      <c r="U100" s="231"/>
      <c r="V100" s="231"/>
    </row>
    <row r="101" spans="2:22" x14ac:dyDescent="0.3">
      <c r="B101" s="94"/>
      <c r="C101" s="93" t="s">
        <v>226</v>
      </c>
      <c r="D101" s="230"/>
      <c r="E101" s="230"/>
      <c r="F101" s="231"/>
      <c r="G101" s="229"/>
      <c r="H101" s="229"/>
      <c r="I101" s="229"/>
      <c r="J101" s="229"/>
      <c r="K101" s="229"/>
      <c r="L101" s="229"/>
      <c r="M101" s="229"/>
      <c r="N101" s="230"/>
      <c r="O101" s="230"/>
      <c r="P101" s="229"/>
      <c r="Q101" s="231"/>
      <c r="R101" s="231"/>
      <c r="S101" s="231"/>
      <c r="T101" s="231"/>
      <c r="U101" s="231"/>
      <c r="V101" s="231"/>
    </row>
    <row r="102" spans="2:22" x14ac:dyDescent="0.3">
      <c r="B102" s="94"/>
      <c r="C102" s="93" t="s">
        <v>227</v>
      </c>
      <c r="D102" s="230"/>
      <c r="E102" s="230"/>
      <c r="F102" s="231"/>
      <c r="G102" s="229"/>
      <c r="H102" s="230"/>
      <c r="I102" s="229"/>
      <c r="J102" s="229"/>
      <c r="K102" s="229"/>
      <c r="L102" s="230"/>
      <c r="M102" s="229"/>
      <c r="N102" s="230"/>
      <c r="O102" s="229"/>
      <c r="P102" s="229"/>
      <c r="Q102" s="231"/>
      <c r="R102" s="231"/>
      <c r="S102" s="231"/>
      <c r="T102" s="231"/>
      <c r="U102" s="231"/>
      <c r="V102" s="231"/>
    </row>
    <row r="103" spans="2:22" x14ac:dyDescent="0.3">
      <c r="B103" s="94"/>
      <c r="C103" s="93" t="s">
        <v>200</v>
      </c>
      <c r="D103" s="274"/>
      <c r="E103" s="230"/>
      <c r="F103" s="231"/>
      <c r="G103" s="229"/>
      <c r="H103" s="229"/>
      <c r="I103" s="229"/>
      <c r="J103" s="229"/>
      <c r="K103" s="229"/>
      <c r="L103" s="229"/>
      <c r="M103" s="229"/>
      <c r="N103" s="230"/>
      <c r="O103" s="229"/>
      <c r="P103" s="229"/>
      <c r="Q103" s="231"/>
      <c r="R103" s="231"/>
      <c r="S103" s="231"/>
      <c r="T103" s="231"/>
      <c r="U103" s="231"/>
      <c r="V103" s="231"/>
    </row>
    <row r="104" spans="2:22" x14ac:dyDescent="0.3">
      <c r="B104" s="94"/>
      <c r="C104" s="93" t="s">
        <v>195</v>
      </c>
      <c r="D104" s="230"/>
      <c r="E104" s="231"/>
      <c r="F104" s="231"/>
      <c r="G104" s="229"/>
      <c r="H104" s="229"/>
      <c r="I104" s="229"/>
      <c r="J104" s="229"/>
      <c r="K104" s="229"/>
      <c r="L104" s="229"/>
      <c r="M104" s="229"/>
      <c r="N104" s="230"/>
      <c r="O104" s="229"/>
      <c r="P104" s="229"/>
      <c r="Q104" s="231"/>
      <c r="R104" s="231"/>
      <c r="S104" s="231"/>
      <c r="T104" s="231"/>
      <c r="U104" s="231"/>
      <c r="V104" s="231"/>
    </row>
    <row r="105" spans="2:22" x14ac:dyDescent="0.3">
      <c r="B105" s="94"/>
      <c r="C105" s="93" t="s">
        <v>203</v>
      </c>
      <c r="D105" s="230"/>
      <c r="E105" s="230"/>
      <c r="F105" s="230"/>
      <c r="G105" s="230"/>
      <c r="H105" s="229"/>
      <c r="I105" s="229"/>
      <c r="J105" s="229"/>
      <c r="K105" s="230"/>
      <c r="L105" s="229"/>
      <c r="M105" s="229"/>
      <c r="N105" s="230"/>
      <c r="O105" s="230"/>
      <c r="P105" s="230"/>
      <c r="Q105" s="231"/>
      <c r="R105" s="231"/>
      <c r="S105" s="231"/>
      <c r="T105" s="231"/>
      <c r="U105" s="231"/>
      <c r="V105" s="231"/>
    </row>
    <row r="106" spans="2:22" x14ac:dyDescent="0.3">
      <c r="B106" s="94"/>
      <c r="C106" s="93" t="s">
        <v>351</v>
      </c>
      <c r="D106" s="274"/>
      <c r="E106" s="230"/>
      <c r="F106" s="229"/>
      <c r="G106" s="229"/>
      <c r="H106" s="229"/>
      <c r="I106" s="229"/>
      <c r="J106" s="229"/>
      <c r="K106" s="229"/>
      <c r="L106" s="229"/>
      <c r="M106" s="229"/>
      <c r="N106" s="229"/>
      <c r="O106" s="229"/>
      <c r="P106" s="229"/>
      <c r="Q106" s="230"/>
      <c r="R106" s="230"/>
      <c r="S106" s="230"/>
      <c r="T106" s="231"/>
      <c r="U106" s="231"/>
      <c r="V106" s="231"/>
    </row>
    <row r="107" spans="2:22" x14ac:dyDescent="0.3">
      <c r="B107" s="94"/>
      <c r="C107" s="93" t="s">
        <v>270</v>
      </c>
      <c r="D107" s="230"/>
      <c r="E107" s="230"/>
      <c r="F107" s="230"/>
      <c r="G107" s="229"/>
      <c r="H107" s="229"/>
      <c r="I107" s="229"/>
      <c r="J107" s="229"/>
      <c r="K107" s="229"/>
      <c r="L107" s="229"/>
      <c r="M107" s="229"/>
      <c r="N107" s="230"/>
      <c r="O107" s="229"/>
      <c r="P107" s="229"/>
      <c r="Q107" s="230"/>
      <c r="R107" s="230"/>
      <c r="S107" s="230"/>
      <c r="T107" s="231"/>
      <c r="U107" s="231"/>
      <c r="V107" s="231"/>
    </row>
    <row r="108" spans="2:22" x14ac:dyDescent="0.3">
      <c r="B108" s="94"/>
      <c r="C108" s="93" t="s">
        <v>228</v>
      </c>
      <c r="D108" s="274"/>
      <c r="E108" s="231"/>
      <c r="F108" s="231"/>
      <c r="G108" s="229"/>
      <c r="H108" s="229"/>
      <c r="I108" s="230"/>
      <c r="J108" s="230"/>
      <c r="K108" s="229"/>
      <c r="L108" s="229"/>
      <c r="M108" s="229"/>
      <c r="N108" s="229"/>
      <c r="O108" s="229"/>
      <c r="P108" s="229"/>
      <c r="Q108" s="231"/>
      <c r="R108" s="231"/>
      <c r="S108" s="231"/>
      <c r="T108" s="231"/>
      <c r="U108" s="231"/>
      <c r="V108" s="231"/>
    </row>
    <row r="109" spans="2:22" s="93" customFormat="1" x14ac:dyDescent="0.3">
      <c r="B109" s="94"/>
      <c r="C109" s="93" t="s">
        <v>358</v>
      </c>
      <c r="D109" s="274"/>
      <c r="E109" s="229"/>
      <c r="F109" s="229"/>
      <c r="G109" s="229"/>
      <c r="H109" s="229"/>
      <c r="I109" s="229"/>
      <c r="J109" s="229"/>
      <c r="K109" s="229"/>
      <c r="L109" s="229"/>
      <c r="M109" s="230"/>
      <c r="N109" s="230"/>
      <c r="O109" s="229"/>
      <c r="P109" s="229"/>
      <c r="Q109" s="229"/>
      <c r="R109" s="229"/>
      <c r="S109" s="229"/>
      <c r="T109" s="229"/>
      <c r="U109" s="229"/>
      <c r="V109" s="229"/>
    </row>
    <row r="110" spans="2:22" x14ac:dyDescent="0.3">
      <c r="B110" s="94"/>
      <c r="C110" s="93" t="s">
        <v>196</v>
      </c>
      <c r="D110" s="231"/>
      <c r="E110" s="231"/>
      <c r="F110" s="231"/>
      <c r="G110" s="229"/>
      <c r="H110" s="230"/>
      <c r="I110" s="230"/>
      <c r="J110" s="230"/>
      <c r="K110" s="229"/>
      <c r="L110" s="230"/>
      <c r="M110" s="229"/>
      <c r="N110" s="230"/>
      <c r="O110" s="229"/>
      <c r="P110" s="229"/>
      <c r="Q110" s="231"/>
      <c r="R110" s="231"/>
      <c r="S110" s="231"/>
      <c r="T110" s="231"/>
      <c r="U110" s="231"/>
      <c r="V110" s="231"/>
    </row>
    <row r="111" spans="2:22" x14ac:dyDescent="0.3">
      <c r="B111" s="94"/>
      <c r="C111" s="93" t="s">
        <v>197</v>
      </c>
      <c r="D111" s="231"/>
      <c r="E111" s="231"/>
      <c r="F111" s="231"/>
      <c r="G111" s="229"/>
      <c r="H111" s="229"/>
      <c r="I111" s="230"/>
      <c r="J111" s="230"/>
      <c r="K111" s="229"/>
      <c r="L111" s="229"/>
      <c r="M111" s="229"/>
      <c r="N111" s="230"/>
      <c r="O111" s="230"/>
      <c r="P111" s="229"/>
      <c r="Q111" s="230"/>
      <c r="R111" s="230"/>
      <c r="S111" s="230"/>
      <c r="T111" s="230"/>
      <c r="U111" s="230"/>
      <c r="V111" s="229"/>
    </row>
    <row r="112" spans="2:22" x14ac:dyDescent="0.3">
      <c r="B112" s="94"/>
      <c r="C112" s="93" t="s">
        <v>352</v>
      </c>
      <c r="D112" s="231"/>
      <c r="E112" s="231"/>
      <c r="F112" s="231"/>
      <c r="G112" s="229"/>
      <c r="H112" s="229"/>
      <c r="I112" s="230"/>
      <c r="J112" s="229"/>
      <c r="K112" s="229"/>
      <c r="L112" s="229"/>
      <c r="M112" s="229"/>
      <c r="N112" s="229"/>
      <c r="O112" s="230"/>
      <c r="P112" s="229"/>
      <c r="Q112" s="230"/>
      <c r="R112" s="230"/>
      <c r="S112" s="346"/>
      <c r="T112" s="230"/>
      <c r="U112" s="230"/>
      <c r="V112" s="229"/>
    </row>
    <row r="113" spans="2:22" x14ac:dyDescent="0.3">
      <c r="B113" s="94"/>
      <c r="C113" s="93" t="s">
        <v>229</v>
      </c>
      <c r="D113" s="230"/>
      <c r="E113" s="231"/>
      <c r="F113" s="230"/>
      <c r="G113" s="229"/>
      <c r="H113" s="229"/>
      <c r="I113" s="229"/>
      <c r="J113" s="229"/>
      <c r="K113" s="229"/>
      <c r="L113" s="229"/>
      <c r="M113" s="229"/>
      <c r="N113" s="230"/>
      <c r="O113" s="230"/>
      <c r="P113" s="229"/>
      <c r="Q113" s="231"/>
      <c r="R113" s="231"/>
      <c r="S113" s="347"/>
      <c r="T113" s="231"/>
      <c r="U113" s="231"/>
      <c r="V113" s="231"/>
    </row>
    <row r="114" spans="2:22" x14ac:dyDescent="0.3">
      <c r="B114" s="94"/>
      <c r="C114" s="93" t="s">
        <v>271</v>
      </c>
      <c r="D114" s="231"/>
      <c r="E114" s="231"/>
      <c r="G114" s="229"/>
      <c r="H114" s="229"/>
      <c r="I114" s="229"/>
      <c r="J114" s="229"/>
      <c r="K114" s="229"/>
      <c r="L114" s="229"/>
      <c r="M114" s="229"/>
      <c r="N114" s="229"/>
      <c r="O114" s="229"/>
      <c r="P114" s="229"/>
      <c r="Q114" s="230"/>
      <c r="R114" s="230"/>
      <c r="S114" s="346"/>
      <c r="T114" s="231"/>
      <c r="U114" s="231"/>
      <c r="V114" s="231"/>
    </row>
    <row r="115" spans="2:22" x14ac:dyDescent="0.3">
      <c r="B115" s="94"/>
      <c r="C115" s="93" t="s">
        <v>198</v>
      </c>
      <c r="D115" s="230"/>
      <c r="E115" s="231"/>
      <c r="F115" s="230"/>
      <c r="G115" s="229"/>
      <c r="H115" s="229"/>
      <c r="I115" s="229"/>
      <c r="J115" s="229"/>
      <c r="K115" s="229"/>
      <c r="L115" s="229"/>
      <c r="M115" s="229"/>
      <c r="N115" s="230"/>
      <c r="O115" s="229"/>
      <c r="P115" s="229"/>
      <c r="Q115" s="231"/>
      <c r="R115" s="231"/>
      <c r="S115" s="347"/>
      <c r="T115" s="231"/>
      <c r="U115" s="231"/>
      <c r="V115" s="231"/>
    </row>
    <row r="116" spans="2:22" x14ac:dyDescent="0.3">
      <c r="B116" s="94"/>
      <c r="C116" s="93" t="s">
        <v>272</v>
      </c>
      <c r="D116" s="230"/>
      <c r="E116" s="231"/>
      <c r="F116" s="230"/>
      <c r="G116" s="229"/>
      <c r="H116" s="230"/>
      <c r="I116" s="229"/>
      <c r="J116" s="229"/>
      <c r="K116" s="229"/>
      <c r="L116" s="230"/>
      <c r="M116" s="229"/>
      <c r="N116" s="229"/>
      <c r="O116" s="229"/>
      <c r="P116" s="229"/>
      <c r="Q116" s="230"/>
      <c r="R116" s="230"/>
      <c r="S116" s="346"/>
      <c r="T116" s="230"/>
      <c r="U116" s="230"/>
      <c r="V116" s="230"/>
    </row>
    <row r="117" spans="2:22" x14ac:dyDescent="0.3">
      <c r="B117" s="94"/>
      <c r="C117" s="93" t="s">
        <v>273</v>
      </c>
      <c r="D117" s="230"/>
      <c r="E117" s="230"/>
      <c r="F117" s="230"/>
      <c r="G117" s="229"/>
      <c r="H117" s="230"/>
      <c r="I117" s="229"/>
      <c r="J117" s="229"/>
      <c r="K117" s="229"/>
      <c r="L117" s="230"/>
      <c r="M117" s="229"/>
      <c r="N117" s="229"/>
      <c r="O117" s="229"/>
      <c r="P117" s="229"/>
      <c r="Q117" s="230"/>
      <c r="R117" s="230"/>
      <c r="S117" s="230"/>
      <c r="T117" s="230"/>
      <c r="U117" s="230"/>
      <c r="V117" s="230"/>
    </row>
    <row r="118" spans="2:22" x14ac:dyDescent="0.3">
      <c r="B118" s="94"/>
      <c r="C118" s="93" t="s">
        <v>274</v>
      </c>
      <c r="D118" s="230"/>
      <c r="E118" s="230"/>
      <c r="F118" s="230"/>
      <c r="G118" s="230"/>
      <c r="H118" s="230"/>
      <c r="I118" s="229"/>
      <c r="J118" s="229"/>
      <c r="K118" s="230"/>
      <c r="L118" s="230"/>
      <c r="M118" s="229"/>
      <c r="N118" s="230"/>
      <c r="O118" s="230"/>
      <c r="P118" s="229"/>
      <c r="Q118" s="230"/>
      <c r="R118" s="230"/>
      <c r="S118" s="230"/>
      <c r="T118" s="230"/>
      <c r="U118" s="230"/>
      <c r="V118" s="230"/>
    </row>
    <row r="119" spans="2:22" x14ac:dyDescent="0.3">
      <c r="B119" s="91"/>
      <c r="C119" s="93" t="s">
        <v>199</v>
      </c>
      <c r="D119" s="230"/>
      <c r="E119" s="231"/>
      <c r="F119" s="229"/>
      <c r="G119" s="230"/>
      <c r="H119" s="230"/>
      <c r="I119" s="230"/>
      <c r="J119" s="229"/>
      <c r="K119" s="230"/>
      <c r="L119" s="230"/>
      <c r="M119" s="229"/>
      <c r="N119" s="229"/>
      <c r="O119" s="230"/>
      <c r="P119" s="230"/>
      <c r="Q119" s="230"/>
      <c r="R119" s="230"/>
      <c r="S119" s="230"/>
      <c r="T119" s="229"/>
      <c r="V119" s="230"/>
    </row>
    <row r="120" spans="2:22" x14ac:dyDescent="0.3">
      <c r="C120" s="91" t="s">
        <v>412</v>
      </c>
      <c r="D120" s="231"/>
      <c r="E120" s="231"/>
      <c r="F120" s="231"/>
      <c r="G120" s="231"/>
      <c r="H120" s="229"/>
      <c r="I120" s="229"/>
      <c r="J120" s="229"/>
      <c r="K120" s="229"/>
      <c r="L120" s="229"/>
      <c r="M120" s="229"/>
      <c r="N120" s="229"/>
      <c r="O120" s="229"/>
      <c r="P120" s="229"/>
      <c r="Q120" s="231"/>
      <c r="R120" s="231"/>
      <c r="S120" s="231"/>
      <c r="T120" s="231"/>
      <c r="U120" s="231"/>
      <c r="V120" s="230"/>
    </row>
    <row r="121" spans="2:22" x14ac:dyDescent="0.3">
      <c r="C121" s="91" t="s">
        <v>413</v>
      </c>
      <c r="D121" s="231"/>
      <c r="E121" s="231"/>
      <c r="F121" s="231"/>
      <c r="G121" s="231"/>
      <c r="H121" s="231"/>
      <c r="I121" s="231"/>
      <c r="J121" s="231"/>
      <c r="K121" s="231"/>
      <c r="L121" s="231"/>
      <c r="M121" s="231"/>
      <c r="N121" s="231"/>
      <c r="O121" s="231"/>
      <c r="P121" s="231"/>
      <c r="Q121" s="231"/>
      <c r="R121" s="231"/>
      <c r="S121" s="231"/>
      <c r="T121" s="230"/>
      <c r="U121" s="230"/>
      <c r="V121" s="231"/>
    </row>
  </sheetData>
  <mergeCells count="61">
    <mergeCell ref="U98:U99"/>
    <mergeCell ref="V98:V99"/>
    <mergeCell ref="P98:P99"/>
    <mergeCell ref="Q98:Q99"/>
    <mergeCell ref="R98:R99"/>
    <mergeCell ref="S98:S99"/>
    <mergeCell ref="T98:T99"/>
    <mergeCell ref="S49:S50"/>
    <mergeCell ref="T49:T50"/>
    <mergeCell ref="U49:U50"/>
    <mergeCell ref="V49:V50"/>
    <mergeCell ref="D98:D99"/>
    <mergeCell ref="E98:E99"/>
    <mergeCell ref="F98:F99"/>
    <mergeCell ref="G98:G99"/>
    <mergeCell ref="H98:H99"/>
    <mergeCell ref="I98:I99"/>
    <mergeCell ref="J98:J99"/>
    <mergeCell ref="K98:K99"/>
    <mergeCell ref="L98:L99"/>
    <mergeCell ref="M98:M99"/>
    <mergeCell ref="N98:N99"/>
    <mergeCell ref="O98:O99"/>
    <mergeCell ref="N49:N50"/>
    <mergeCell ref="O49:O50"/>
    <mergeCell ref="P49:P50"/>
    <mergeCell ref="Q49:Q50"/>
    <mergeCell ref="R49:R50"/>
    <mergeCell ref="I49:I50"/>
    <mergeCell ref="J49:J50"/>
    <mergeCell ref="K49:K50"/>
    <mergeCell ref="L49:L50"/>
    <mergeCell ref="M49:M50"/>
    <mergeCell ref="D49:D50"/>
    <mergeCell ref="E49:E50"/>
    <mergeCell ref="F49:F50"/>
    <mergeCell ref="G49:G50"/>
    <mergeCell ref="H49:H50"/>
    <mergeCell ref="D4:D5"/>
    <mergeCell ref="E4:E5"/>
    <mergeCell ref="F4:F5"/>
    <mergeCell ref="G4:G5"/>
    <mergeCell ref="H4:H5"/>
    <mergeCell ref="P4:P5"/>
    <mergeCell ref="Q4:Q5"/>
    <mergeCell ref="R4:R5"/>
    <mergeCell ref="R2:T2"/>
    <mergeCell ref="N4:N5"/>
    <mergeCell ref="O4:O5"/>
    <mergeCell ref="K4:K5"/>
    <mergeCell ref="L4:L5"/>
    <mergeCell ref="M4:M5"/>
    <mergeCell ref="I4:I5"/>
    <mergeCell ref="J4:J5"/>
    <mergeCell ref="E2:N2"/>
    <mergeCell ref="O2:Q2"/>
    <mergeCell ref="S4:S5"/>
    <mergeCell ref="T4:T5"/>
    <mergeCell ref="U4:U5"/>
    <mergeCell ref="U2:W2"/>
    <mergeCell ref="V4:V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57"/>
  <sheetViews>
    <sheetView showGridLines="0" zoomScale="80" zoomScaleNormal="80" workbookViewId="0">
      <pane xSplit="1" ySplit="2" topLeftCell="B3" activePane="bottomRight" state="frozen"/>
      <selection pane="topRight" activeCell="B1" sqref="B1"/>
      <selection pane="bottomLeft" activeCell="A3" sqref="A3"/>
      <selection pane="bottomRight" activeCell="J67" sqref="J67"/>
    </sheetView>
  </sheetViews>
  <sheetFormatPr defaultColWidth="9.125" defaultRowHeight="15" x14ac:dyDescent="0.25"/>
  <cols>
    <col min="1" max="1" width="58.625" bestFit="1" customWidth="1"/>
    <col min="2" max="49" width="12.75" customWidth="1"/>
  </cols>
  <sheetData>
    <row r="1" spans="1:55" s="3" customFormat="1" ht="18.75" x14ac:dyDescent="0.3">
      <c r="B1" s="337" t="s">
        <v>18</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row>
    <row r="2" spans="1:55" s="3" customFormat="1" x14ac:dyDescent="0.25">
      <c r="A2" s="3" t="s">
        <v>18</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row>
    <row r="3" spans="1:55" hidden="1" x14ac:dyDescent="0.25"/>
    <row r="4" spans="1:55" hidden="1" x14ac:dyDescent="0.25">
      <c r="A4" s="13" t="s">
        <v>90</v>
      </c>
      <c r="B4" s="30">
        <f>B5</f>
        <v>0</v>
      </c>
      <c r="C4" s="30">
        <f>C5+B4</f>
        <v>0</v>
      </c>
      <c r="D4" s="30">
        <f t="shared" ref="D4:K4" si="0">D5+C4</f>
        <v>0</v>
      </c>
      <c r="E4" s="30">
        <f t="shared" si="0"/>
        <v>0</v>
      </c>
      <c r="F4" s="30">
        <f t="shared" si="0"/>
        <v>0</v>
      </c>
      <c r="G4" s="30">
        <f t="shared" si="0"/>
        <v>0</v>
      </c>
      <c r="H4" s="30">
        <f t="shared" si="0"/>
        <v>0</v>
      </c>
      <c r="I4" s="30">
        <f t="shared" si="0"/>
        <v>0</v>
      </c>
      <c r="J4" s="30">
        <f t="shared" si="0"/>
        <v>0</v>
      </c>
      <c r="K4" s="30">
        <f t="shared" si="0"/>
        <v>0</v>
      </c>
      <c r="L4" s="30">
        <f t="shared" ref="L4:M4" si="1">L5+K4</f>
        <v>0</v>
      </c>
      <c r="M4" s="30">
        <f t="shared" si="1"/>
        <v>0</v>
      </c>
      <c r="N4" s="30">
        <f>N5+M4-(B5*'"Fine Tune" Variables'!$G$41)</f>
        <v>0</v>
      </c>
      <c r="O4" s="30">
        <f>O5+N4-(C5*'"Fine Tune" Variables'!$G$41)</f>
        <v>0</v>
      </c>
      <c r="P4" s="30">
        <f>P5+O4-(D5*'"Fine Tune" Variables'!$G$41)</f>
        <v>0</v>
      </c>
      <c r="Q4" s="30">
        <f>Q5+P4-(E5*'"Fine Tune" Variables'!$G$41)</f>
        <v>0</v>
      </c>
      <c r="R4" s="30">
        <f>R5+Q4-(F5*'"Fine Tune" Variables'!$G$41)</f>
        <v>0</v>
      </c>
      <c r="S4" s="30">
        <f>S5+R4-(G5*'"Fine Tune" Variables'!$G$41)</f>
        <v>0</v>
      </c>
      <c r="T4" s="30">
        <f>T5+S4-(H5*'"Fine Tune" Variables'!$G$41)</f>
        <v>0</v>
      </c>
      <c r="U4" s="30">
        <f>U5+T4-(I5*'"Fine Tune" Variables'!$G$41)</f>
        <v>0</v>
      </c>
      <c r="V4" s="30">
        <f>V5+U4-(J5*'"Fine Tune" Variables'!$G$41)</f>
        <v>0</v>
      </c>
      <c r="W4" s="30">
        <f>W5+V4-(K5*'"Fine Tune" Variables'!$G$41)</f>
        <v>0</v>
      </c>
      <c r="X4" s="30">
        <f>X5+W4-(L5*'"Fine Tune" Variables'!$G$41)</f>
        <v>0</v>
      </c>
      <c r="Y4" s="30">
        <f>Y5+X4-(M5*'"Fine Tune" Variables'!$G$41)</f>
        <v>0</v>
      </c>
      <c r="Z4" s="30">
        <f>Z5+Y4-(N5*'"Fine Tune" Variables'!$G$41)</f>
        <v>0</v>
      </c>
      <c r="AA4" s="30">
        <f>AA5+Z4-(O5*'"Fine Tune" Variables'!$G$41)</f>
        <v>0</v>
      </c>
      <c r="AB4" s="30">
        <f>AB5+AA4-(P5*'"Fine Tune" Variables'!$G$41)</f>
        <v>0</v>
      </c>
      <c r="AC4" s="30">
        <f>AC5+AB4-(Q5*'"Fine Tune" Variables'!$G$41)</f>
        <v>0</v>
      </c>
      <c r="AD4" s="30">
        <f>AD5+AC4-(R5*'"Fine Tune" Variables'!$G$41)</f>
        <v>0</v>
      </c>
      <c r="AE4" s="30">
        <f>AE5+AD4-(S5*'"Fine Tune" Variables'!$G$41)</f>
        <v>0</v>
      </c>
      <c r="AF4" s="30">
        <f>AF5+AE4-(T5*'"Fine Tune" Variables'!$G$41)</f>
        <v>0</v>
      </c>
      <c r="AG4" s="30">
        <f>AG5+AF4-(U5*'"Fine Tune" Variables'!$G$41)</f>
        <v>0</v>
      </c>
      <c r="AH4" s="30">
        <f>AH5+AG4-(V5*'"Fine Tune" Variables'!$G$41)</f>
        <v>0</v>
      </c>
      <c r="AI4" s="30">
        <f>AI5+AH4-(W5*'"Fine Tune" Variables'!$G$41)</f>
        <v>0</v>
      </c>
      <c r="AJ4" s="30">
        <f>AJ5+AI4-(X5*'"Fine Tune" Variables'!$G$41)</f>
        <v>0</v>
      </c>
      <c r="AK4" s="30">
        <f>AK5+AJ4-(Y5*'"Fine Tune" Variables'!$G$41)</f>
        <v>0</v>
      </c>
      <c r="AL4" s="30">
        <f>AL5+AK4-(Z5*'"Fine Tune" Variables'!$G$41)</f>
        <v>0</v>
      </c>
      <c r="AM4" s="30">
        <f>AM5+AL4-(AA5*'"Fine Tune" Variables'!$G$41)</f>
        <v>0</v>
      </c>
      <c r="AN4" s="30">
        <f>AN5+AM4-(AB5*'"Fine Tune" Variables'!$G$41)</f>
        <v>0</v>
      </c>
      <c r="AO4" s="30">
        <f>AO5+AN4-(AC5*'"Fine Tune" Variables'!$G$41)</f>
        <v>0</v>
      </c>
      <c r="AP4" s="30">
        <f>AP5+AO4-(AD5*'"Fine Tune" Variables'!$G$41)</f>
        <v>0</v>
      </c>
      <c r="AQ4" s="30">
        <f>AQ5+AP4-(AE5*'"Fine Tune" Variables'!$G$41)</f>
        <v>0</v>
      </c>
      <c r="AR4" s="30">
        <f>AR5+AQ4-(AF5*'"Fine Tune" Variables'!$G$41)</f>
        <v>0</v>
      </c>
      <c r="AS4" s="30">
        <f>AS5+AR4-(AG5*'"Fine Tune" Variables'!$G$41)</f>
        <v>0</v>
      </c>
      <c r="AT4" s="30">
        <f>AT5+AS4-(AH5*'"Fine Tune" Variables'!$G$41)</f>
        <v>0</v>
      </c>
      <c r="AU4" s="30">
        <f>AU5+AT4-(AI5*'"Fine Tune" Variables'!$G$41)</f>
        <v>0</v>
      </c>
      <c r="AV4" s="30">
        <f>AV5+AU4-(AJ5*'"Fine Tune" Variables'!$G$41)</f>
        <v>0</v>
      </c>
      <c r="AW4" s="72">
        <f>AW5+AV4-(AK5*'"Fine Tune" Variables'!$G$41)</f>
        <v>0</v>
      </c>
    </row>
    <row r="5" spans="1:55" hidden="1" x14ac:dyDescent="0.25">
      <c r="A5" s="13" t="s">
        <v>91</v>
      </c>
      <c r="B5" s="30">
        <f>('P&amp;L Impact'!E17*'Key Variables'!$E$57/100/48)+('Key Variables'!$G$3*'Key Variables'!$K$94*'Key Variables'!$E$57/100/12)</f>
        <v>0</v>
      </c>
      <c r="C5" s="30">
        <f>('P&amp;L Impact'!F17*'Key Variables'!$E$57/100/48)+('Key Variables'!$G$3*'Key Variables'!$K$94*'Key Variables'!$E$57/100/12)</f>
        <v>0</v>
      </c>
      <c r="D5" s="30">
        <f>('P&amp;L Impact'!G17*'Key Variables'!$E$57/100/48)+('Key Variables'!$G$3*'Key Variables'!$K$94*'Key Variables'!$E$57/100/12)</f>
        <v>0</v>
      </c>
      <c r="E5" s="30">
        <f>('P&amp;L Impact'!H17*'Key Variables'!$E$57/100/48)+('Key Variables'!$G$3*'Key Variables'!$K$94*'Key Variables'!$E$57/100/12)</f>
        <v>0</v>
      </c>
      <c r="F5" s="30">
        <f>('P&amp;L Impact'!I17*'Key Variables'!$E$57/100/48)+('Key Variables'!$G$3*'Key Variables'!$K$94*'Key Variables'!$E$57/100/12)</f>
        <v>0</v>
      </c>
      <c r="G5" s="30">
        <f>('P&amp;L Impact'!J17*'Key Variables'!$E$57/100/48)+('Key Variables'!$G$3*'Key Variables'!$K$94*'Key Variables'!$E$57/100/12)</f>
        <v>0</v>
      </c>
      <c r="H5" s="30">
        <f>('P&amp;L Impact'!K17*'Key Variables'!$E$57/100/48)+('Key Variables'!$G$3*'Key Variables'!$K$94*'Key Variables'!$E$57/100/12)</f>
        <v>0</v>
      </c>
      <c r="I5" s="30">
        <f>('P&amp;L Impact'!L17*'Key Variables'!$E$57/100/48)+('Key Variables'!$G$3*'Key Variables'!$K$94*'Key Variables'!$E$57/100/12)</f>
        <v>0</v>
      </c>
      <c r="J5" s="30">
        <f>('P&amp;L Impact'!M17*'Key Variables'!$E$57/100/48)+('Key Variables'!$G$3*'Key Variables'!$K$94*'Key Variables'!$E$57/100/12)</f>
        <v>0</v>
      </c>
      <c r="K5" s="30">
        <f>('P&amp;L Impact'!N17*'Key Variables'!$E$57/100/48)+('Key Variables'!$G$3*'Key Variables'!$K$94*'Key Variables'!$E$57/100/12)</f>
        <v>0</v>
      </c>
      <c r="L5" s="30">
        <f>('P&amp;L Impact'!O17*'Key Variables'!$E$57/100/48)+('Key Variables'!$G$3*'Key Variables'!$K$94*'Key Variables'!$E$57/100/12)</f>
        <v>0</v>
      </c>
      <c r="M5" s="30">
        <f>('P&amp;L Impact'!P17*'Key Variables'!$E$57/100/48)+('Key Variables'!$G$3*'Key Variables'!$K$94*'Key Variables'!$E$57/100/12)</f>
        <v>0</v>
      </c>
      <c r="N5" s="30">
        <f>('P&amp;L Impact'!Q17*'Key Variables'!$E$57/100/48)+('Key Variables'!$H$3*'Key Variables'!$K$94*'Key Variables'!$E$57/100/12)</f>
        <v>0</v>
      </c>
      <c r="O5" s="30">
        <f>('P&amp;L Impact'!R17*'Key Variables'!$E$57/100/48)+('Key Variables'!$H$3*'Key Variables'!$K$94*'Key Variables'!$E$57/100/12)</f>
        <v>0</v>
      </c>
      <c r="P5" s="30">
        <f>('P&amp;L Impact'!S17*'Key Variables'!$E$57/100/48)+('Key Variables'!$H$3*'Key Variables'!$K$94*'Key Variables'!$E$57/100/12)</f>
        <v>0</v>
      </c>
      <c r="Q5" s="30">
        <f>('P&amp;L Impact'!T17*'Key Variables'!$E$57/100/48)+('Key Variables'!$H$3*'Key Variables'!$K$94*'Key Variables'!$E$57/100/12)</f>
        <v>0</v>
      </c>
      <c r="R5" s="30">
        <f>('P&amp;L Impact'!U17*'Key Variables'!$E$57/100/48)+('Key Variables'!$H$3*'Key Variables'!$K$94*'Key Variables'!$E$57/100/12)</f>
        <v>0</v>
      </c>
      <c r="S5" s="30">
        <f>('P&amp;L Impact'!V17*'Key Variables'!$E$57/100/48)+('Key Variables'!$H$3*'Key Variables'!$K$94*'Key Variables'!$E$57/100/12)</f>
        <v>0</v>
      </c>
      <c r="T5" s="30">
        <f>('P&amp;L Impact'!W17*'Key Variables'!$E$57/100/48)+('Key Variables'!$H$3*'Key Variables'!$K$94*'Key Variables'!$E$57/100/12)</f>
        <v>0</v>
      </c>
      <c r="U5" s="30">
        <f>('P&amp;L Impact'!X17*'Key Variables'!$E$57/100/48)+('Key Variables'!$H$3*'Key Variables'!$K$94*'Key Variables'!$E$57/100/12)</f>
        <v>0</v>
      </c>
      <c r="V5" s="30">
        <f>('P&amp;L Impact'!Y17*'Key Variables'!$E$57/100/48)+('Key Variables'!$H$3*'Key Variables'!$K$94*'Key Variables'!$E$57/100/12)</f>
        <v>0</v>
      </c>
      <c r="W5" s="30">
        <f>('P&amp;L Impact'!Z17*'Key Variables'!$E$57/100/48)+('Key Variables'!$H$3*'Key Variables'!$K$94*'Key Variables'!$E$57/100/12)</f>
        <v>0</v>
      </c>
      <c r="X5" s="30">
        <f>('P&amp;L Impact'!AA17*'Key Variables'!$E$57/100/48)+('Key Variables'!$H$3*'Key Variables'!$K$94*'Key Variables'!$E$57/100/12)</f>
        <v>0</v>
      </c>
      <c r="Y5" s="30">
        <f>('P&amp;L Impact'!AB17*'Key Variables'!$E$57/100/48)+('Key Variables'!$H$3*'Key Variables'!$K$94*'Key Variables'!$E$57/100/12)</f>
        <v>0</v>
      </c>
      <c r="Z5" s="30">
        <f>('P&amp;L Impact'!AC17*'Key Variables'!$E$57/100/48)+('Key Variables'!$J$3*'Key Variables'!$K$94*'Key Variables'!$E$57/100/12)</f>
        <v>0</v>
      </c>
      <c r="AA5" s="30">
        <f>('P&amp;L Impact'!AD17*'Key Variables'!$E$57/100/48)+('Key Variables'!$J$3*'Key Variables'!$K$94*'Key Variables'!$E$57/100/12)</f>
        <v>0</v>
      </c>
      <c r="AB5" s="30">
        <f>('P&amp;L Impact'!AE17*'Key Variables'!$E$57/100/48)+('Key Variables'!$J$3*'Key Variables'!$K$94*'Key Variables'!$E$57/100/12)</f>
        <v>0</v>
      </c>
      <c r="AC5" s="30">
        <f>('P&amp;L Impact'!AF17*'Key Variables'!$E$57/100/48)+('Key Variables'!$J$3*'Key Variables'!$K$94*'Key Variables'!$E$57/100/12)</f>
        <v>0</v>
      </c>
      <c r="AD5" s="30">
        <f>('P&amp;L Impact'!AG17*'Key Variables'!$E$57/100/48)+('Key Variables'!$J$3*'Key Variables'!$K$94*'Key Variables'!$E$57/100/12)</f>
        <v>0</v>
      </c>
      <c r="AE5" s="30">
        <f>('P&amp;L Impact'!AH17*'Key Variables'!$E$57/100/48)+('Key Variables'!$J$3*'Key Variables'!$K$94*'Key Variables'!$E$57/100/12)</f>
        <v>0</v>
      </c>
      <c r="AF5" s="30">
        <f>('P&amp;L Impact'!AI17*'Key Variables'!$E$57/100/48)+('Key Variables'!$J$3*'Key Variables'!$K$94*'Key Variables'!$E$57/100/12)</f>
        <v>0</v>
      </c>
      <c r="AG5" s="30">
        <f>('P&amp;L Impact'!AJ17*'Key Variables'!$E$57/100/48)+('Key Variables'!$J$3*'Key Variables'!$K$94*'Key Variables'!$E$57/100/12)</f>
        <v>0</v>
      </c>
      <c r="AH5" s="30">
        <f>('P&amp;L Impact'!AK17*'Key Variables'!$E$57/100/48)+('Key Variables'!$J$3*'Key Variables'!$K$94*'Key Variables'!$E$57/100/12)</f>
        <v>0</v>
      </c>
      <c r="AI5" s="30">
        <f>('P&amp;L Impact'!AL17*'Key Variables'!$E$57/100/48)+('Key Variables'!$J$3*'Key Variables'!$K$94*'Key Variables'!$E$57/100/12)</f>
        <v>0</v>
      </c>
      <c r="AJ5" s="30">
        <f>('P&amp;L Impact'!AM17*'Key Variables'!$E$57/100/48)+('Key Variables'!$J$3*'Key Variables'!$K$94*'Key Variables'!$E$57/100/12)</f>
        <v>0</v>
      </c>
      <c r="AK5" s="30">
        <f>('P&amp;L Impact'!AN17*'Key Variables'!$E$57/100/48)+('Key Variables'!$J$3*'Key Variables'!$K$94*'Key Variables'!$E$57/100/12)</f>
        <v>0</v>
      </c>
      <c r="AL5" s="30">
        <f>('P&amp;L Impact'!AO17*'Key Variables'!$E$57/100/48)+('Key Variables'!$K$3*'Key Variables'!$K$94*'Key Variables'!$E$57/100/12)</f>
        <v>0</v>
      </c>
      <c r="AM5" s="30">
        <f>('P&amp;L Impact'!AP17*'Key Variables'!$E$57/100/48)+('Key Variables'!$K$3*'Key Variables'!$K$94*'Key Variables'!$E$57/100/12)</f>
        <v>0</v>
      </c>
      <c r="AN5" s="30">
        <f>('P&amp;L Impact'!AQ17*'Key Variables'!$E$57/100/48)+('Key Variables'!$K$3*'Key Variables'!$K$94*'Key Variables'!$E$57/100/12)</f>
        <v>0</v>
      </c>
      <c r="AO5" s="30">
        <f>('P&amp;L Impact'!AR17*'Key Variables'!$E$57/100/48)+('Key Variables'!$K$3*'Key Variables'!$K$94*'Key Variables'!$E$57/100/12)</f>
        <v>0</v>
      </c>
      <c r="AP5" s="30">
        <f>('P&amp;L Impact'!AS17*'Key Variables'!$E$57/100/48)+('Key Variables'!$K$3*'Key Variables'!$K$94*'Key Variables'!$E$57/100/12)</f>
        <v>0</v>
      </c>
      <c r="AQ5" s="30">
        <f>('P&amp;L Impact'!AT17*'Key Variables'!$E$57/100/48)+('Key Variables'!$K$3*'Key Variables'!$K$94*'Key Variables'!$E$57/100/12)</f>
        <v>0</v>
      </c>
      <c r="AR5" s="30">
        <f>('P&amp;L Impact'!AU17*'Key Variables'!$E$57/100/48)+('Key Variables'!$K$3*'Key Variables'!$K$94*'Key Variables'!$E$57/100/12)</f>
        <v>0</v>
      </c>
      <c r="AS5" s="30">
        <f>('P&amp;L Impact'!AV17*'Key Variables'!$E$57/100/48)+('Key Variables'!$K$3*'Key Variables'!$K$94*'Key Variables'!$E$57/100/12)</f>
        <v>0</v>
      </c>
      <c r="AT5" s="30">
        <f>('P&amp;L Impact'!AW17*'Key Variables'!$E$57/100/48)+('Key Variables'!$K$3*'Key Variables'!$K$94*'Key Variables'!$E$57/100/12)</f>
        <v>0</v>
      </c>
      <c r="AU5" s="30">
        <f>('P&amp;L Impact'!AX17*'Key Variables'!$E$57/100/48)+('Key Variables'!$K$3*'Key Variables'!$K$94*'Key Variables'!$E$57/100/12)</f>
        <v>0</v>
      </c>
      <c r="AV5" s="30">
        <f>('P&amp;L Impact'!AY17*'Key Variables'!$E$57/100/48)+('Key Variables'!$K$3*'Key Variables'!$K$94*'Key Variables'!$E$57/100/12)</f>
        <v>0</v>
      </c>
      <c r="AW5" s="30">
        <f>('P&amp;L Impact'!AZ17*'Key Variables'!$E$57/100/48)+('Key Variables'!$K$3*'Key Variables'!$K$94*'Key Variables'!$E$57/100/12)</f>
        <v>0</v>
      </c>
    </row>
    <row r="6" spans="1:55" hidden="1" x14ac:dyDescent="0.25"/>
    <row r="7" spans="1:55" hidden="1" x14ac:dyDescent="0.25">
      <c r="A7" s="13" t="s">
        <v>35</v>
      </c>
      <c r="B7" s="1"/>
      <c r="C7" s="1"/>
      <c r="D7" s="1"/>
      <c r="E7" s="1">
        <f>B5*('"Fine Tune" Variables'!$C$16*12)*'"Fine Tune" Variables'!$I$12/4</f>
        <v>0</v>
      </c>
      <c r="F7" s="1">
        <f>C5*('"Fine Tune" Variables'!$C$16*12)*'"Fine Tune" Variables'!$I$12/4</f>
        <v>0</v>
      </c>
      <c r="G7" s="1">
        <f>D5*('"Fine Tune" Variables'!$C$16*12)*'"Fine Tune" Variables'!$I$12/4</f>
        <v>0</v>
      </c>
      <c r="H7" s="1">
        <f>E5*('"Fine Tune" Variables'!$C$16*12)*'"Fine Tune" Variables'!$I$12/4</f>
        <v>0</v>
      </c>
      <c r="I7" s="1">
        <f>F5*('"Fine Tune" Variables'!$C$16*12)*'"Fine Tune" Variables'!$I$12/4</f>
        <v>0</v>
      </c>
      <c r="J7" s="1">
        <f>G5*('"Fine Tune" Variables'!$C$16*12)*'"Fine Tune" Variables'!$I$12/4</f>
        <v>0</v>
      </c>
      <c r="K7" s="1">
        <f>H5*('"Fine Tune" Variables'!$C$16*12)*'"Fine Tune" Variables'!$I$12/4</f>
        <v>0</v>
      </c>
      <c r="L7" s="1">
        <f>I5*('"Fine Tune" Variables'!$C$16*12)*'"Fine Tune" Variables'!$I$12/4</f>
        <v>0</v>
      </c>
      <c r="M7" s="1">
        <f>J5*('"Fine Tune" Variables'!$C$16*12)*'"Fine Tune" Variables'!$I$12/4</f>
        <v>0</v>
      </c>
      <c r="N7" s="1">
        <f>K5*('"Fine Tune" Variables'!$C$16*12)*'"Fine Tune" Variables'!$I$12/4</f>
        <v>0</v>
      </c>
      <c r="O7" s="1">
        <f>L5*('"Fine Tune" Variables'!$C$16*12)*'"Fine Tune" Variables'!$I$12/4</f>
        <v>0</v>
      </c>
      <c r="P7" s="1">
        <f>M5*('"Fine Tune" Variables'!$C$16*12)*'"Fine Tune" Variables'!$I$12/4</f>
        <v>0</v>
      </c>
      <c r="Q7" s="1">
        <f>N5*('"Fine Tune" Variables'!$C$16*12)*'"Fine Tune" Variables'!$I$12/4</f>
        <v>0</v>
      </c>
      <c r="R7" s="1">
        <f>O5*('"Fine Tune" Variables'!$C$16*12)*'"Fine Tune" Variables'!$I$12/4</f>
        <v>0</v>
      </c>
      <c r="S7" s="1">
        <f>P5*('"Fine Tune" Variables'!$C$16*12)*'"Fine Tune" Variables'!$I$12/4</f>
        <v>0</v>
      </c>
      <c r="T7" s="1">
        <f>Q5*('"Fine Tune" Variables'!$C$16*12)*'"Fine Tune" Variables'!$I$12/4</f>
        <v>0</v>
      </c>
      <c r="U7" s="1">
        <f>R5*('"Fine Tune" Variables'!$C$16*12)*'"Fine Tune" Variables'!$I$12/4</f>
        <v>0</v>
      </c>
      <c r="V7" s="1">
        <f>S5*('"Fine Tune" Variables'!$C$16*12)*'"Fine Tune" Variables'!$I$12/4</f>
        <v>0</v>
      </c>
      <c r="W7" s="1">
        <f>T5*('"Fine Tune" Variables'!$C$16*12)*'"Fine Tune" Variables'!$I$12/4</f>
        <v>0</v>
      </c>
      <c r="X7" s="1">
        <f>U5*('"Fine Tune" Variables'!$C$16*12)*'"Fine Tune" Variables'!$I$12/4</f>
        <v>0</v>
      </c>
      <c r="Y7" s="1">
        <f>V5*('"Fine Tune" Variables'!$C$16*12)*'"Fine Tune" Variables'!$I$12/4</f>
        <v>0</v>
      </c>
      <c r="Z7" s="1">
        <f>W5*('"Fine Tune" Variables'!$C$16*12)*'"Fine Tune" Variables'!$I$12/4</f>
        <v>0</v>
      </c>
      <c r="AA7" s="1">
        <f>X5*('"Fine Tune" Variables'!$C$16*12)*'"Fine Tune" Variables'!$I$12/4</f>
        <v>0</v>
      </c>
      <c r="AB7" s="1">
        <f>Y5*('"Fine Tune" Variables'!$C$16*12)*'"Fine Tune" Variables'!$I$12/4</f>
        <v>0</v>
      </c>
      <c r="AC7" s="1">
        <f>Z5*('"Fine Tune" Variables'!$C$16*12)*'"Fine Tune" Variables'!$I$12/4</f>
        <v>0</v>
      </c>
      <c r="AD7" s="1">
        <f>AA5*('"Fine Tune" Variables'!$C$16*12)*'"Fine Tune" Variables'!$I$12/4</f>
        <v>0</v>
      </c>
      <c r="AE7" s="1">
        <f>AB5*('"Fine Tune" Variables'!$C$16*12)*'"Fine Tune" Variables'!$I$12/4</f>
        <v>0</v>
      </c>
      <c r="AF7" s="1">
        <f>AC5*('"Fine Tune" Variables'!$C$16*12)*'"Fine Tune" Variables'!$I$12/4</f>
        <v>0</v>
      </c>
      <c r="AG7" s="1">
        <f>AD5*('"Fine Tune" Variables'!$C$16*12)*'"Fine Tune" Variables'!$I$12/4</f>
        <v>0</v>
      </c>
      <c r="AH7" s="1">
        <f>AE5*('"Fine Tune" Variables'!$C$16*12)*'"Fine Tune" Variables'!$I$12/4</f>
        <v>0</v>
      </c>
      <c r="AI7" s="1">
        <f>AF5*('"Fine Tune" Variables'!$C$16*12)*'"Fine Tune" Variables'!$I$12/4</f>
        <v>0</v>
      </c>
      <c r="AJ7" s="1">
        <f>AG5*('"Fine Tune" Variables'!$C$16*12)*'"Fine Tune" Variables'!$I$12/4</f>
        <v>0</v>
      </c>
      <c r="AK7" s="1">
        <f>AH5*('"Fine Tune" Variables'!$C$16*12)*'"Fine Tune" Variables'!$I$12/4</f>
        <v>0</v>
      </c>
      <c r="AL7" s="1">
        <f>AI5*('"Fine Tune" Variables'!$C$16*12)*'"Fine Tune" Variables'!$I$12/4</f>
        <v>0</v>
      </c>
      <c r="AM7" s="1">
        <f>AJ5*('"Fine Tune" Variables'!$C$16*12)*'"Fine Tune" Variables'!$I$12/4</f>
        <v>0</v>
      </c>
      <c r="AN7" s="1">
        <f>AK5*('"Fine Tune" Variables'!$C$16*12)*'"Fine Tune" Variables'!$I$12/4</f>
        <v>0</v>
      </c>
      <c r="AO7" s="1">
        <f>AL5*('"Fine Tune" Variables'!$C$16*12)*'"Fine Tune" Variables'!$I$12/4</f>
        <v>0</v>
      </c>
      <c r="AP7" s="1">
        <f>AM5*('"Fine Tune" Variables'!$C$16*12)*'"Fine Tune" Variables'!$I$12/4</f>
        <v>0</v>
      </c>
      <c r="AQ7" s="1">
        <f>AN5*('"Fine Tune" Variables'!$C$16*12)*'"Fine Tune" Variables'!$I$12/4</f>
        <v>0</v>
      </c>
      <c r="AR7" s="1">
        <f>AO5*('"Fine Tune" Variables'!$C$16*12)*'"Fine Tune" Variables'!$I$12/4</f>
        <v>0</v>
      </c>
      <c r="AS7" s="1">
        <f>AP5*('"Fine Tune" Variables'!$C$16*12)*'"Fine Tune" Variables'!$I$12/4</f>
        <v>0</v>
      </c>
      <c r="AT7" s="1">
        <f>AQ5*('"Fine Tune" Variables'!$C$16*12)*'"Fine Tune" Variables'!$I$12/4</f>
        <v>0</v>
      </c>
      <c r="AU7" s="1">
        <f>AR5*('"Fine Tune" Variables'!$C$16*12)*'"Fine Tune" Variables'!$I$12/4</f>
        <v>0</v>
      </c>
      <c r="AV7" s="1">
        <f>AS5*('"Fine Tune" Variables'!$C$16*12)*'"Fine Tune" Variables'!$I$12/4</f>
        <v>0</v>
      </c>
      <c r="AW7" s="1">
        <f>AT5*('"Fine Tune" Variables'!$C$16*12)*'"Fine Tune" Variables'!$I$12/4</f>
        <v>0</v>
      </c>
      <c r="BA7" s="1"/>
      <c r="BC7" s="1"/>
    </row>
    <row r="8" spans="1:55" hidden="1" x14ac:dyDescent="0.25">
      <c r="A8" s="13"/>
      <c r="B8" s="1"/>
      <c r="C8" s="1"/>
      <c r="D8" s="1"/>
      <c r="E8" s="1"/>
      <c r="F8" s="1"/>
      <c r="G8" s="1"/>
      <c r="H8" s="1">
        <f>B5*('"Fine Tune" Variables'!$C$16*12)*'"Fine Tune" Variables'!$I$12/4</f>
        <v>0</v>
      </c>
      <c r="I8" s="1">
        <f>C5*('"Fine Tune" Variables'!$C$16*12)*'"Fine Tune" Variables'!$I$12/4</f>
        <v>0</v>
      </c>
      <c r="J8" s="1">
        <f>D5*('"Fine Tune" Variables'!$C$16*12)*'"Fine Tune" Variables'!$I$12/4</f>
        <v>0</v>
      </c>
      <c r="K8" s="1">
        <f>E5*('"Fine Tune" Variables'!$C$16*12)*'"Fine Tune" Variables'!$I$12/4</f>
        <v>0</v>
      </c>
      <c r="L8" s="1">
        <f>F5*('"Fine Tune" Variables'!$C$16*12)*'"Fine Tune" Variables'!$I$12/4</f>
        <v>0</v>
      </c>
      <c r="M8" s="1">
        <f>G5*('"Fine Tune" Variables'!$C$16*12)*'"Fine Tune" Variables'!$I$12/4</f>
        <v>0</v>
      </c>
      <c r="N8" s="1">
        <f>H5*('"Fine Tune" Variables'!$C$16*12)*'"Fine Tune" Variables'!$I$12/4</f>
        <v>0</v>
      </c>
      <c r="O8" s="1">
        <f>I5*('"Fine Tune" Variables'!$C$16*12)*'"Fine Tune" Variables'!$I$12/4</f>
        <v>0</v>
      </c>
      <c r="P8" s="1">
        <f>J5*('"Fine Tune" Variables'!$C$16*12)*'"Fine Tune" Variables'!$I$12/4</f>
        <v>0</v>
      </c>
      <c r="Q8" s="1">
        <f>K5*('"Fine Tune" Variables'!$C$16*12)*'"Fine Tune" Variables'!$I$12/4</f>
        <v>0</v>
      </c>
      <c r="R8" s="1">
        <f>L5*('"Fine Tune" Variables'!$C$16*12)*'"Fine Tune" Variables'!$I$12/4</f>
        <v>0</v>
      </c>
      <c r="S8" s="1">
        <f>M5*('"Fine Tune" Variables'!$C$16*12)*'"Fine Tune" Variables'!$I$12/4</f>
        <v>0</v>
      </c>
      <c r="T8" s="1">
        <f>N5*('"Fine Tune" Variables'!$C$16*12)*'"Fine Tune" Variables'!$I$12/4</f>
        <v>0</v>
      </c>
      <c r="U8" s="1">
        <f>O5*('"Fine Tune" Variables'!$C$16*12)*'"Fine Tune" Variables'!$I$12/4</f>
        <v>0</v>
      </c>
      <c r="V8" s="1">
        <f>P5*('"Fine Tune" Variables'!$C$16*12)*'"Fine Tune" Variables'!$I$12/4</f>
        <v>0</v>
      </c>
      <c r="W8" s="1">
        <f>Q5*('"Fine Tune" Variables'!$C$16*12)*'"Fine Tune" Variables'!$I$12/4</f>
        <v>0</v>
      </c>
      <c r="X8" s="1">
        <f>R5*('"Fine Tune" Variables'!$C$16*12)*'"Fine Tune" Variables'!$I$12/4</f>
        <v>0</v>
      </c>
      <c r="Y8" s="1">
        <f>S5*('"Fine Tune" Variables'!$C$16*12)*'"Fine Tune" Variables'!$I$12/4</f>
        <v>0</v>
      </c>
      <c r="Z8" s="1">
        <f>T5*('"Fine Tune" Variables'!$C$16*12)*'"Fine Tune" Variables'!$I$12/4</f>
        <v>0</v>
      </c>
      <c r="AA8" s="1">
        <f>U5*('"Fine Tune" Variables'!$C$16*12)*'"Fine Tune" Variables'!$I$12/4</f>
        <v>0</v>
      </c>
      <c r="AB8" s="1">
        <f>V5*('"Fine Tune" Variables'!$C$16*12)*'"Fine Tune" Variables'!$I$12/4</f>
        <v>0</v>
      </c>
      <c r="AC8" s="1">
        <f>W5*('"Fine Tune" Variables'!$C$16*12)*'"Fine Tune" Variables'!$I$12/4</f>
        <v>0</v>
      </c>
      <c r="AD8" s="1">
        <f>X5*('"Fine Tune" Variables'!$C$16*12)*'"Fine Tune" Variables'!$I$12/4</f>
        <v>0</v>
      </c>
      <c r="AE8" s="1">
        <f>Y5*('"Fine Tune" Variables'!$C$16*12)*'"Fine Tune" Variables'!$I$12/4</f>
        <v>0</v>
      </c>
      <c r="AF8" s="1">
        <f>Z5*('"Fine Tune" Variables'!$C$16*12)*'"Fine Tune" Variables'!$I$12/4</f>
        <v>0</v>
      </c>
      <c r="AG8" s="1">
        <f>AA5*('"Fine Tune" Variables'!$C$16*12)*'"Fine Tune" Variables'!$I$12/4</f>
        <v>0</v>
      </c>
      <c r="AH8" s="1">
        <f>AB5*('"Fine Tune" Variables'!$C$16*12)*'"Fine Tune" Variables'!$I$12/4</f>
        <v>0</v>
      </c>
      <c r="AI8" s="1">
        <f>AC5*('"Fine Tune" Variables'!$C$16*12)*'"Fine Tune" Variables'!$I$12/4</f>
        <v>0</v>
      </c>
      <c r="AJ8" s="1">
        <f>AD5*('"Fine Tune" Variables'!$C$16*12)*'"Fine Tune" Variables'!$I$12/4</f>
        <v>0</v>
      </c>
      <c r="AK8" s="1">
        <f>AE5*('"Fine Tune" Variables'!$C$16*12)*'"Fine Tune" Variables'!$I$12/4</f>
        <v>0</v>
      </c>
      <c r="AL8" s="1">
        <f>AF5*('"Fine Tune" Variables'!$C$16*12)*'"Fine Tune" Variables'!$I$12/4</f>
        <v>0</v>
      </c>
      <c r="AM8" s="1">
        <f>AG5*('"Fine Tune" Variables'!$C$16*12)*'"Fine Tune" Variables'!$I$12/4</f>
        <v>0</v>
      </c>
      <c r="AN8" s="1">
        <f>AH5*('"Fine Tune" Variables'!$C$16*12)*'"Fine Tune" Variables'!$I$12/4</f>
        <v>0</v>
      </c>
      <c r="AO8" s="1">
        <f>AI5*('"Fine Tune" Variables'!$C$16*12)*'"Fine Tune" Variables'!$I$12/4</f>
        <v>0</v>
      </c>
      <c r="AP8" s="1">
        <f>AJ5*('"Fine Tune" Variables'!$C$16*12)*'"Fine Tune" Variables'!$I$12/4</f>
        <v>0</v>
      </c>
      <c r="AQ8" s="1">
        <f>AK5*('"Fine Tune" Variables'!$C$16*12)*'"Fine Tune" Variables'!$I$12/4</f>
        <v>0</v>
      </c>
      <c r="AR8" s="1">
        <f>AL5*('"Fine Tune" Variables'!$C$16*12)*'"Fine Tune" Variables'!$I$12/4</f>
        <v>0</v>
      </c>
      <c r="AS8" s="1">
        <f>AM5*('"Fine Tune" Variables'!$C$16*12)*'"Fine Tune" Variables'!$I$12/4</f>
        <v>0</v>
      </c>
      <c r="AT8" s="1">
        <f>AN5*('"Fine Tune" Variables'!$C$16*12)*'"Fine Tune" Variables'!$I$12/4</f>
        <v>0</v>
      </c>
      <c r="AU8" s="1">
        <f>AO5*('"Fine Tune" Variables'!$C$16*12)*'"Fine Tune" Variables'!$I$12/4</f>
        <v>0</v>
      </c>
      <c r="AV8" s="1">
        <f>AP5*('"Fine Tune" Variables'!$C$16*12)*'"Fine Tune" Variables'!$I$12/4</f>
        <v>0</v>
      </c>
      <c r="AW8" s="1">
        <f>AQ5*('"Fine Tune" Variables'!$C$16*12)*'"Fine Tune" Variables'!$I$12/4</f>
        <v>0</v>
      </c>
      <c r="BC8" s="1"/>
    </row>
    <row r="9" spans="1:55" hidden="1" x14ac:dyDescent="0.25">
      <c r="B9" s="1"/>
      <c r="C9" s="1"/>
      <c r="D9" s="1"/>
      <c r="E9" s="1"/>
      <c r="F9" s="1"/>
      <c r="G9" s="1"/>
      <c r="H9" s="1"/>
      <c r="I9" s="1"/>
      <c r="J9" s="1"/>
      <c r="K9" s="1">
        <f>B5*('"Fine Tune" Variables'!$C$16*12)*'"Fine Tune" Variables'!$I$12/4</f>
        <v>0</v>
      </c>
      <c r="L9" s="1">
        <f>C5*('"Fine Tune" Variables'!$C$16*12)*'"Fine Tune" Variables'!$I$12/4</f>
        <v>0</v>
      </c>
      <c r="M9" s="1">
        <f>D5*('"Fine Tune" Variables'!$C$16*12)*'"Fine Tune" Variables'!$I$12/4</f>
        <v>0</v>
      </c>
      <c r="N9" s="1">
        <f>E5*('"Fine Tune" Variables'!$C$16*12)*'"Fine Tune" Variables'!$I$12/4</f>
        <v>0</v>
      </c>
      <c r="O9" s="1">
        <f>F5*('"Fine Tune" Variables'!$C$16*12)*'"Fine Tune" Variables'!$I$12/4</f>
        <v>0</v>
      </c>
      <c r="P9" s="1">
        <f>G5*('"Fine Tune" Variables'!$C$16*12)*'"Fine Tune" Variables'!$I$12/4</f>
        <v>0</v>
      </c>
      <c r="Q9" s="1">
        <f>H5*('"Fine Tune" Variables'!$C$16*12)*'"Fine Tune" Variables'!$I$12/4</f>
        <v>0</v>
      </c>
      <c r="R9" s="1">
        <f>I5*('"Fine Tune" Variables'!$C$16*12)*'"Fine Tune" Variables'!$I$12/4</f>
        <v>0</v>
      </c>
      <c r="S9" s="1">
        <f>J5*('"Fine Tune" Variables'!$C$16*12)*'"Fine Tune" Variables'!$I$12/4</f>
        <v>0</v>
      </c>
      <c r="T9" s="1">
        <f>K5*('"Fine Tune" Variables'!$C$16*12)*'"Fine Tune" Variables'!$I$12/4</f>
        <v>0</v>
      </c>
      <c r="U9" s="1">
        <f>L5*('"Fine Tune" Variables'!$C$16*12)*'"Fine Tune" Variables'!$I$12/4</f>
        <v>0</v>
      </c>
      <c r="V9" s="1">
        <f>M5*('"Fine Tune" Variables'!$C$16*12)*'"Fine Tune" Variables'!$I$12/4</f>
        <v>0</v>
      </c>
      <c r="W9" s="1">
        <f>N5*('"Fine Tune" Variables'!$C$16*12)*'"Fine Tune" Variables'!$I$12/4</f>
        <v>0</v>
      </c>
      <c r="X9" s="1">
        <f>O5*('"Fine Tune" Variables'!$C$16*12)*'"Fine Tune" Variables'!$I$12/4</f>
        <v>0</v>
      </c>
      <c r="Y9" s="1">
        <f>P5*('"Fine Tune" Variables'!$C$16*12)*'"Fine Tune" Variables'!$I$12/4</f>
        <v>0</v>
      </c>
      <c r="Z9" s="1">
        <f>Q5*('"Fine Tune" Variables'!$C$16*12)*'"Fine Tune" Variables'!$I$12/4</f>
        <v>0</v>
      </c>
      <c r="AA9" s="1">
        <f>R5*('"Fine Tune" Variables'!$C$16*12)*'"Fine Tune" Variables'!$I$12/4</f>
        <v>0</v>
      </c>
      <c r="AB9" s="1">
        <f>S5*('"Fine Tune" Variables'!$C$16*12)*'"Fine Tune" Variables'!$I$12/4</f>
        <v>0</v>
      </c>
      <c r="AC9" s="1">
        <f>T5*('"Fine Tune" Variables'!$C$16*12)*'"Fine Tune" Variables'!$I$12/4</f>
        <v>0</v>
      </c>
      <c r="AD9" s="1">
        <f>U5*('"Fine Tune" Variables'!$C$16*12)*'"Fine Tune" Variables'!$I$12/4</f>
        <v>0</v>
      </c>
      <c r="AE9" s="1">
        <f>V5*('"Fine Tune" Variables'!$C$16*12)*'"Fine Tune" Variables'!$I$12/4</f>
        <v>0</v>
      </c>
      <c r="AF9" s="1">
        <f>W5*('"Fine Tune" Variables'!$C$16*12)*'"Fine Tune" Variables'!$I$12/4</f>
        <v>0</v>
      </c>
      <c r="AG9" s="1">
        <f>X5*('"Fine Tune" Variables'!$C$16*12)*'"Fine Tune" Variables'!$I$12/4</f>
        <v>0</v>
      </c>
      <c r="AH9" s="1">
        <f>Y5*('"Fine Tune" Variables'!$C$16*12)*'"Fine Tune" Variables'!$I$12/4</f>
        <v>0</v>
      </c>
      <c r="AI9" s="1">
        <f>Z5*('"Fine Tune" Variables'!$C$16*12)*'"Fine Tune" Variables'!$I$12/4</f>
        <v>0</v>
      </c>
      <c r="AJ9" s="1">
        <f>AA5*('"Fine Tune" Variables'!$C$16*12)*'"Fine Tune" Variables'!$I$12/4</f>
        <v>0</v>
      </c>
      <c r="AK9" s="1">
        <f>AB5*('"Fine Tune" Variables'!$C$16*12)*'"Fine Tune" Variables'!$I$12/4</f>
        <v>0</v>
      </c>
      <c r="AL9" s="1">
        <f>AC5*('"Fine Tune" Variables'!$C$16*12)*'"Fine Tune" Variables'!$I$12/4</f>
        <v>0</v>
      </c>
      <c r="AM9" s="1">
        <f>AD5*('"Fine Tune" Variables'!$C$16*12)*'"Fine Tune" Variables'!$I$12/4</f>
        <v>0</v>
      </c>
      <c r="AN9" s="1">
        <f>AE5*('"Fine Tune" Variables'!$C$16*12)*'"Fine Tune" Variables'!$I$12/4</f>
        <v>0</v>
      </c>
      <c r="AO9" s="1">
        <f>AF5*('"Fine Tune" Variables'!$C$16*12)*'"Fine Tune" Variables'!$I$12/4</f>
        <v>0</v>
      </c>
      <c r="AP9" s="1">
        <f>AG5*('"Fine Tune" Variables'!$C$16*12)*'"Fine Tune" Variables'!$I$12/4</f>
        <v>0</v>
      </c>
      <c r="AQ9" s="1">
        <f>AH5*('"Fine Tune" Variables'!$C$16*12)*'"Fine Tune" Variables'!$I$12/4</f>
        <v>0</v>
      </c>
      <c r="AR9" s="1">
        <f>AI5*('"Fine Tune" Variables'!$C$16*12)*'"Fine Tune" Variables'!$I$12/4</f>
        <v>0</v>
      </c>
      <c r="AS9" s="1">
        <f>AJ5*('"Fine Tune" Variables'!$C$16*12)*'"Fine Tune" Variables'!$I$12/4</f>
        <v>0</v>
      </c>
      <c r="AT9" s="1">
        <f>AK5*('"Fine Tune" Variables'!$C$16*12)*'"Fine Tune" Variables'!$I$12/4</f>
        <v>0</v>
      </c>
      <c r="AU9" s="1">
        <f>AL5*('"Fine Tune" Variables'!$C$16*12)*'"Fine Tune" Variables'!$I$12/4</f>
        <v>0</v>
      </c>
      <c r="AV9" s="1">
        <f>AM5*('"Fine Tune" Variables'!$C$16*12)*'"Fine Tune" Variables'!$I$12/4</f>
        <v>0</v>
      </c>
      <c r="AW9" s="1">
        <f>AN5*('"Fine Tune" Variables'!$C$16*12)*'"Fine Tune" Variables'!$I$12/4</f>
        <v>0</v>
      </c>
    </row>
    <row r="10" spans="1:55" hidden="1" x14ac:dyDescent="0.25">
      <c r="B10" s="1"/>
      <c r="C10" s="1"/>
      <c r="D10" s="1"/>
      <c r="E10" s="1"/>
      <c r="F10" s="1"/>
      <c r="G10" s="1"/>
      <c r="H10" s="1"/>
      <c r="I10" s="1"/>
      <c r="J10" s="1"/>
      <c r="K10" s="1"/>
      <c r="L10" s="1"/>
      <c r="M10" s="1"/>
      <c r="N10" s="1">
        <f>B5*('"Fine Tune" Variables'!$C$16*12)*'"Fine Tune" Variables'!$I$12/4</f>
        <v>0</v>
      </c>
      <c r="O10" s="1">
        <f>C5*('"Fine Tune" Variables'!$C$16*12)*'"Fine Tune" Variables'!$I$12/4</f>
        <v>0</v>
      </c>
      <c r="P10" s="1">
        <f>D5*('"Fine Tune" Variables'!$C$16*12)*'"Fine Tune" Variables'!$I$12/4</f>
        <v>0</v>
      </c>
      <c r="Q10" s="1">
        <f>E5*('"Fine Tune" Variables'!$C$16*12)*'"Fine Tune" Variables'!$I$12/4</f>
        <v>0</v>
      </c>
      <c r="R10" s="1">
        <f>F5*('"Fine Tune" Variables'!$C$16*12)*'"Fine Tune" Variables'!$I$12/4</f>
        <v>0</v>
      </c>
      <c r="S10" s="1">
        <f>G5*('"Fine Tune" Variables'!$C$16*12)*'"Fine Tune" Variables'!$I$12/4</f>
        <v>0</v>
      </c>
      <c r="T10" s="1">
        <f>H5*('"Fine Tune" Variables'!$C$16*12)*'"Fine Tune" Variables'!$I$12/4</f>
        <v>0</v>
      </c>
      <c r="U10" s="1">
        <f>I5*('"Fine Tune" Variables'!$C$16*12)*'"Fine Tune" Variables'!$I$12/4</f>
        <v>0</v>
      </c>
      <c r="V10" s="1">
        <f>J5*('"Fine Tune" Variables'!$C$16*12)*'"Fine Tune" Variables'!$I$12/4</f>
        <v>0</v>
      </c>
      <c r="W10" s="1">
        <f>K5*('"Fine Tune" Variables'!$C$16*12)*'"Fine Tune" Variables'!$I$12/4</f>
        <v>0</v>
      </c>
      <c r="X10" s="1">
        <f>L5*('"Fine Tune" Variables'!$C$16*12)*'"Fine Tune" Variables'!$I$12/4</f>
        <v>0</v>
      </c>
      <c r="Y10" s="1">
        <f>M5*('"Fine Tune" Variables'!$C$16*12)*'"Fine Tune" Variables'!$I$12/4</f>
        <v>0</v>
      </c>
      <c r="Z10" s="1">
        <f>N5*('"Fine Tune" Variables'!$C$16*12)*'"Fine Tune" Variables'!$I$12/4</f>
        <v>0</v>
      </c>
      <c r="AA10" s="1">
        <f>O5*('"Fine Tune" Variables'!$C$16*12)*'"Fine Tune" Variables'!$I$12/4</f>
        <v>0</v>
      </c>
      <c r="AB10" s="1">
        <f>P5*('"Fine Tune" Variables'!$C$16*12)*'"Fine Tune" Variables'!$I$12/4</f>
        <v>0</v>
      </c>
      <c r="AC10" s="1">
        <f>Q5*('"Fine Tune" Variables'!$C$16*12)*'"Fine Tune" Variables'!$I$12/4</f>
        <v>0</v>
      </c>
      <c r="AD10" s="1">
        <f>R5*('"Fine Tune" Variables'!$C$16*12)*'"Fine Tune" Variables'!$I$12/4</f>
        <v>0</v>
      </c>
      <c r="AE10" s="1">
        <f>S5*('"Fine Tune" Variables'!$C$16*12)*'"Fine Tune" Variables'!$I$12/4</f>
        <v>0</v>
      </c>
      <c r="AF10" s="1">
        <f>T5*('"Fine Tune" Variables'!$C$16*12)*'"Fine Tune" Variables'!$I$12/4</f>
        <v>0</v>
      </c>
      <c r="AG10" s="1">
        <f>U5*('"Fine Tune" Variables'!$C$16*12)*'"Fine Tune" Variables'!$I$12/4</f>
        <v>0</v>
      </c>
      <c r="AH10" s="1">
        <f>V5*('"Fine Tune" Variables'!$C$16*12)*'"Fine Tune" Variables'!$I$12/4</f>
        <v>0</v>
      </c>
      <c r="AI10" s="1">
        <f>W5*('"Fine Tune" Variables'!$C$16*12)*'"Fine Tune" Variables'!$I$12/4</f>
        <v>0</v>
      </c>
      <c r="AJ10" s="1">
        <f>X5*('"Fine Tune" Variables'!$C$16*12)*'"Fine Tune" Variables'!$I$12/4</f>
        <v>0</v>
      </c>
      <c r="AK10" s="1">
        <f>Y5*('"Fine Tune" Variables'!$C$16*12)*'"Fine Tune" Variables'!$I$12/4</f>
        <v>0</v>
      </c>
      <c r="AL10" s="1">
        <f>Z5*('"Fine Tune" Variables'!$C$16*12)*'"Fine Tune" Variables'!$I$12/4</f>
        <v>0</v>
      </c>
      <c r="AM10" s="1">
        <f>AA5*('"Fine Tune" Variables'!$C$16*12)*'"Fine Tune" Variables'!$I$12/4</f>
        <v>0</v>
      </c>
      <c r="AN10" s="1">
        <f>AB5*('"Fine Tune" Variables'!$C$16*12)*'"Fine Tune" Variables'!$I$12/4</f>
        <v>0</v>
      </c>
      <c r="AO10" s="1">
        <f>AC5*('"Fine Tune" Variables'!$C$16*12)*'"Fine Tune" Variables'!$I$12/4</f>
        <v>0</v>
      </c>
      <c r="AP10" s="1">
        <f>AD5*('"Fine Tune" Variables'!$C$16*12)*'"Fine Tune" Variables'!$I$12/4</f>
        <v>0</v>
      </c>
      <c r="AQ10" s="1">
        <f>AE5*('"Fine Tune" Variables'!$C$16*12)*'"Fine Tune" Variables'!$I$12/4</f>
        <v>0</v>
      </c>
      <c r="AR10" s="1">
        <f>AF5*('"Fine Tune" Variables'!$C$16*12)*'"Fine Tune" Variables'!$I$12/4</f>
        <v>0</v>
      </c>
      <c r="AS10" s="1">
        <f>AG5*('"Fine Tune" Variables'!$C$16*12)*'"Fine Tune" Variables'!$I$12/4</f>
        <v>0</v>
      </c>
      <c r="AT10" s="1">
        <f>AH5*('"Fine Tune" Variables'!$C$16*12)*'"Fine Tune" Variables'!$I$12/4</f>
        <v>0</v>
      </c>
      <c r="AU10" s="1">
        <f>AI5*('"Fine Tune" Variables'!$C$16*12)*'"Fine Tune" Variables'!$I$12/4</f>
        <v>0</v>
      </c>
      <c r="AV10" s="1">
        <f>AJ5*('"Fine Tune" Variables'!$C$16*12)*'"Fine Tune" Variables'!$I$12/4</f>
        <v>0</v>
      </c>
      <c r="AW10" s="1">
        <f>AK5*('"Fine Tune" Variables'!$C$16*12)*'"Fine Tune" Variables'!$I$12/4</f>
        <v>0</v>
      </c>
    </row>
    <row r="11" spans="1:55" hidden="1" x14ac:dyDescent="0.25">
      <c r="B11" s="1"/>
      <c r="C11" s="1"/>
      <c r="D11" s="1"/>
      <c r="E11" s="1"/>
      <c r="F11" s="1"/>
      <c r="G11" s="1"/>
      <c r="H11" s="1"/>
      <c r="I11" s="1"/>
      <c r="J11" s="1"/>
      <c r="K11" s="1"/>
      <c r="L11" s="1"/>
      <c r="M11" s="1"/>
      <c r="N11" s="1"/>
      <c r="O11" s="1"/>
      <c r="P11" s="1"/>
      <c r="Q11" s="1">
        <f>B5*('"Fine Tune" Variables'!$C$16*12)*'"Fine Tune" Variables'!$I$12/4</f>
        <v>0</v>
      </c>
      <c r="R11" s="1">
        <f>C5*('"Fine Tune" Variables'!$C$16*12)*'"Fine Tune" Variables'!$I$12/4</f>
        <v>0</v>
      </c>
      <c r="S11" s="1">
        <f>D5*('"Fine Tune" Variables'!$C$16*12)*'"Fine Tune" Variables'!$I$12/4</f>
        <v>0</v>
      </c>
      <c r="T11" s="1">
        <f>E5*('"Fine Tune" Variables'!$C$16*12)*'"Fine Tune" Variables'!$I$12/4</f>
        <v>0</v>
      </c>
      <c r="U11" s="1">
        <f>F5*('"Fine Tune" Variables'!$C$16*12)*'"Fine Tune" Variables'!$I$12/4</f>
        <v>0</v>
      </c>
      <c r="V11" s="1">
        <f>G5*('"Fine Tune" Variables'!$C$16*12)*'"Fine Tune" Variables'!$I$12/4</f>
        <v>0</v>
      </c>
      <c r="W11" s="1">
        <f>H5*('"Fine Tune" Variables'!$C$16*12)*'"Fine Tune" Variables'!$I$12/4</f>
        <v>0</v>
      </c>
      <c r="X11" s="1">
        <f>I5*('"Fine Tune" Variables'!$C$16*12)*'"Fine Tune" Variables'!$I$12/4</f>
        <v>0</v>
      </c>
      <c r="Y11" s="1">
        <f>J5*('"Fine Tune" Variables'!$C$16*12)*'"Fine Tune" Variables'!$I$12/4</f>
        <v>0</v>
      </c>
      <c r="Z11" s="1">
        <f>K5*('"Fine Tune" Variables'!$C$16*12)*'"Fine Tune" Variables'!$I$12/4</f>
        <v>0</v>
      </c>
      <c r="AA11" s="1">
        <f>L5*('"Fine Tune" Variables'!$C$16*12)*'"Fine Tune" Variables'!$I$12/4</f>
        <v>0</v>
      </c>
      <c r="AB11" s="1">
        <f>M5*('"Fine Tune" Variables'!$C$16*12)*'"Fine Tune" Variables'!$I$12/4</f>
        <v>0</v>
      </c>
      <c r="AC11" s="1">
        <f>N5*('"Fine Tune" Variables'!$C$16*12)*'"Fine Tune" Variables'!$I$12/4</f>
        <v>0</v>
      </c>
      <c r="AD11" s="1">
        <f>O5*('"Fine Tune" Variables'!$C$16*12)*'"Fine Tune" Variables'!$I$12/4</f>
        <v>0</v>
      </c>
      <c r="AE11" s="1">
        <f>P5*('"Fine Tune" Variables'!$C$16*12)*'"Fine Tune" Variables'!$I$12/4</f>
        <v>0</v>
      </c>
      <c r="AF11" s="1">
        <f>Q5*('"Fine Tune" Variables'!$C$16*12)*'"Fine Tune" Variables'!$I$12/4</f>
        <v>0</v>
      </c>
      <c r="AG11" s="1">
        <f>R5*('"Fine Tune" Variables'!$C$16*12)*'"Fine Tune" Variables'!$I$12/4</f>
        <v>0</v>
      </c>
      <c r="AH11" s="1">
        <f>S5*('"Fine Tune" Variables'!$C$16*12)*'"Fine Tune" Variables'!$I$12/4</f>
        <v>0</v>
      </c>
      <c r="AI11" s="1">
        <f>T5*('"Fine Tune" Variables'!$C$16*12)*'"Fine Tune" Variables'!$I$12/4</f>
        <v>0</v>
      </c>
      <c r="AJ11" s="1">
        <f>U5*('"Fine Tune" Variables'!$C$16*12)*'"Fine Tune" Variables'!$I$12/4</f>
        <v>0</v>
      </c>
      <c r="AK11" s="1">
        <f>V5*('"Fine Tune" Variables'!$C$16*12)*'"Fine Tune" Variables'!$I$12/4</f>
        <v>0</v>
      </c>
      <c r="AL11" s="1">
        <f>W5*('"Fine Tune" Variables'!$C$16*12)*'"Fine Tune" Variables'!$I$12/4</f>
        <v>0</v>
      </c>
      <c r="AM11" s="1">
        <f>X5*('"Fine Tune" Variables'!$C$16*12)*'"Fine Tune" Variables'!$I$12/4</f>
        <v>0</v>
      </c>
      <c r="AN11" s="1">
        <f>Y5*('"Fine Tune" Variables'!$C$16*12)*'"Fine Tune" Variables'!$I$12/4</f>
        <v>0</v>
      </c>
      <c r="AO11" s="1">
        <f>Z5*('"Fine Tune" Variables'!$C$16*12)*'"Fine Tune" Variables'!$I$12/4</f>
        <v>0</v>
      </c>
      <c r="AP11" s="1">
        <f>AA5*('"Fine Tune" Variables'!$C$16*12)*'"Fine Tune" Variables'!$I$12/4</f>
        <v>0</v>
      </c>
      <c r="AQ11" s="1">
        <f>AB5*('"Fine Tune" Variables'!$C$16*12)*'"Fine Tune" Variables'!$I$12/4</f>
        <v>0</v>
      </c>
      <c r="AR11" s="1">
        <f>AC5*('"Fine Tune" Variables'!$C$16*12)*'"Fine Tune" Variables'!$I$12/4</f>
        <v>0</v>
      </c>
      <c r="AS11" s="1">
        <f>AD5*('"Fine Tune" Variables'!$C$16*12)*'"Fine Tune" Variables'!$I$12/4</f>
        <v>0</v>
      </c>
      <c r="AT11" s="1">
        <f>AE5*('"Fine Tune" Variables'!$C$16*12)*'"Fine Tune" Variables'!$I$12/4</f>
        <v>0</v>
      </c>
      <c r="AU11" s="1">
        <f>AF5*('"Fine Tune" Variables'!$C$16*12)*'"Fine Tune" Variables'!$I$12/4</f>
        <v>0</v>
      </c>
      <c r="AV11" s="1">
        <f>AG5*('"Fine Tune" Variables'!$C$16*12)*'"Fine Tune" Variables'!$I$12/4</f>
        <v>0</v>
      </c>
      <c r="AW11" s="1">
        <f>AH5*('"Fine Tune" Variables'!$C$16*12)*'"Fine Tune" Variables'!$I$12/4</f>
        <v>0</v>
      </c>
    </row>
    <row r="12" spans="1:55" hidden="1" x14ac:dyDescent="0.25">
      <c r="B12" s="1"/>
      <c r="C12" s="1"/>
      <c r="D12" s="1"/>
      <c r="E12" s="1"/>
      <c r="F12" s="1"/>
      <c r="G12" s="1"/>
      <c r="H12" s="1"/>
      <c r="I12" s="1"/>
      <c r="J12" s="1"/>
      <c r="K12" s="1"/>
      <c r="L12" s="1"/>
      <c r="M12" s="1"/>
      <c r="N12" s="1"/>
      <c r="O12" s="1"/>
      <c r="P12" s="1"/>
      <c r="Q12" s="1"/>
      <c r="R12" s="1"/>
      <c r="S12" s="1"/>
      <c r="T12" s="1">
        <f>B5*('"Fine Tune" Variables'!$C$16*12)*'"Fine Tune" Variables'!$I$12/4</f>
        <v>0</v>
      </c>
      <c r="U12" s="1">
        <f>C5*('"Fine Tune" Variables'!$C$16*12)*'"Fine Tune" Variables'!$I$12/4</f>
        <v>0</v>
      </c>
      <c r="V12" s="1">
        <f>D5*('"Fine Tune" Variables'!$C$16*12)*'"Fine Tune" Variables'!$I$12/4</f>
        <v>0</v>
      </c>
      <c r="W12" s="1">
        <f>E5*('"Fine Tune" Variables'!$C$16*12)*'"Fine Tune" Variables'!$I$12/4</f>
        <v>0</v>
      </c>
      <c r="X12" s="1">
        <f>F5*('"Fine Tune" Variables'!$C$16*12)*'"Fine Tune" Variables'!$I$12/4</f>
        <v>0</v>
      </c>
      <c r="Y12" s="1">
        <f>G5*('"Fine Tune" Variables'!$C$16*12)*'"Fine Tune" Variables'!$I$12/4</f>
        <v>0</v>
      </c>
      <c r="Z12" s="1">
        <f>H5*('"Fine Tune" Variables'!$C$16*12)*'"Fine Tune" Variables'!$I$12/4</f>
        <v>0</v>
      </c>
      <c r="AA12" s="1">
        <f>I5*('"Fine Tune" Variables'!$C$16*12)*'"Fine Tune" Variables'!$I$12/4</f>
        <v>0</v>
      </c>
      <c r="AB12" s="1">
        <f>J5*('"Fine Tune" Variables'!$C$16*12)*'"Fine Tune" Variables'!$I$12/4</f>
        <v>0</v>
      </c>
      <c r="AC12" s="1">
        <f>K5*('"Fine Tune" Variables'!$C$16*12)*'"Fine Tune" Variables'!$I$12/4</f>
        <v>0</v>
      </c>
      <c r="AD12" s="1">
        <f>L5*('"Fine Tune" Variables'!$C$16*12)*'"Fine Tune" Variables'!$I$12/4</f>
        <v>0</v>
      </c>
      <c r="AE12" s="1">
        <f>M5*('"Fine Tune" Variables'!$C$16*12)*'"Fine Tune" Variables'!$I$12/4</f>
        <v>0</v>
      </c>
      <c r="AF12" s="1">
        <f>N5*('"Fine Tune" Variables'!$C$16*12)*'"Fine Tune" Variables'!$I$12/4</f>
        <v>0</v>
      </c>
      <c r="AG12" s="1">
        <f>O5*('"Fine Tune" Variables'!$C$16*12)*'"Fine Tune" Variables'!$I$12/4</f>
        <v>0</v>
      </c>
      <c r="AH12" s="1">
        <f>P5*('"Fine Tune" Variables'!$C$16*12)*'"Fine Tune" Variables'!$I$12/4</f>
        <v>0</v>
      </c>
      <c r="AI12" s="1">
        <f>Q5*('"Fine Tune" Variables'!$C$16*12)*'"Fine Tune" Variables'!$I$12/4</f>
        <v>0</v>
      </c>
      <c r="AJ12" s="1">
        <f>R5*('"Fine Tune" Variables'!$C$16*12)*'"Fine Tune" Variables'!$I$12/4</f>
        <v>0</v>
      </c>
      <c r="AK12" s="1">
        <f>S5*('"Fine Tune" Variables'!$C$16*12)*'"Fine Tune" Variables'!$I$12/4</f>
        <v>0</v>
      </c>
      <c r="AL12" s="1">
        <f>T5*('"Fine Tune" Variables'!$C$16*12)*'"Fine Tune" Variables'!$I$12/4</f>
        <v>0</v>
      </c>
      <c r="AM12" s="1">
        <f>U5*('"Fine Tune" Variables'!$C$16*12)*'"Fine Tune" Variables'!$I$12/4</f>
        <v>0</v>
      </c>
      <c r="AN12" s="1">
        <f>V5*('"Fine Tune" Variables'!$C$16*12)*'"Fine Tune" Variables'!$I$12/4</f>
        <v>0</v>
      </c>
      <c r="AO12" s="1">
        <f>W5*('"Fine Tune" Variables'!$C$16*12)*'"Fine Tune" Variables'!$I$12/4</f>
        <v>0</v>
      </c>
      <c r="AP12" s="1">
        <f>X5*('"Fine Tune" Variables'!$C$16*12)*'"Fine Tune" Variables'!$I$12/4</f>
        <v>0</v>
      </c>
      <c r="AQ12" s="1">
        <f>Y5*('"Fine Tune" Variables'!$C$16*12)*'"Fine Tune" Variables'!$I$12/4</f>
        <v>0</v>
      </c>
      <c r="AR12" s="1">
        <f>Z5*('"Fine Tune" Variables'!$C$16*12)*'"Fine Tune" Variables'!$I$12/4</f>
        <v>0</v>
      </c>
      <c r="AS12" s="1">
        <f>AA5*('"Fine Tune" Variables'!$C$16*12)*'"Fine Tune" Variables'!$I$12/4</f>
        <v>0</v>
      </c>
      <c r="AT12" s="1">
        <f>AB5*('"Fine Tune" Variables'!$C$16*12)*'"Fine Tune" Variables'!$I$12/4</f>
        <v>0</v>
      </c>
      <c r="AU12" s="1">
        <f>AC5*('"Fine Tune" Variables'!$C$16*12)*'"Fine Tune" Variables'!$I$12/4</f>
        <v>0</v>
      </c>
      <c r="AV12" s="1">
        <f>AD5*('"Fine Tune" Variables'!$C$16*12)*'"Fine Tune" Variables'!$I$12/4</f>
        <v>0</v>
      </c>
      <c r="AW12" s="1">
        <f>AE5*('"Fine Tune" Variables'!$C$16*12)*'"Fine Tune" Variables'!$I$12/4</f>
        <v>0</v>
      </c>
    </row>
    <row r="13" spans="1:55" hidden="1" x14ac:dyDescent="0.25">
      <c r="B13" s="1"/>
      <c r="C13" s="1"/>
      <c r="D13" s="1"/>
      <c r="E13" s="1"/>
      <c r="F13" s="1"/>
      <c r="G13" s="1"/>
      <c r="H13" s="1"/>
      <c r="I13" s="1"/>
      <c r="J13" s="1"/>
      <c r="K13" s="1"/>
      <c r="L13" s="1"/>
      <c r="M13" s="1"/>
      <c r="N13" s="1"/>
      <c r="O13" s="1"/>
      <c r="P13" s="1"/>
      <c r="Q13" s="1"/>
      <c r="R13" s="1"/>
      <c r="S13" s="1"/>
      <c r="T13" s="1"/>
      <c r="U13" s="1"/>
      <c r="V13" s="1"/>
      <c r="W13" s="1">
        <f>B5*('"Fine Tune" Variables'!$C$16*12)*'"Fine Tune" Variables'!$I$12/4</f>
        <v>0</v>
      </c>
      <c r="X13" s="1">
        <f>C5*('"Fine Tune" Variables'!$C$16*12)*'"Fine Tune" Variables'!$I$12/4</f>
        <v>0</v>
      </c>
      <c r="Y13" s="1">
        <f>D5*('"Fine Tune" Variables'!$C$16*12)*'"Fine Tune" Variables'!$I$12/4</f>
        <v>0</v>
      </c>
      <c r="Z13" s="1">
        <f>E5*('"Fine Tune" Variables'!$C$16*12)*'"Fine Tune" Variables'!$I$12/4</f>
        <v>0</v>
      </c>
      <c r="AA13" s="1">
        <f>F5*('"Fine Tune" Variables'!$C$16*12)*'"Fine Tune" Variables'!$I$12/4</f>
        <v>0</v>
      </c>
      <c r="AB13" s="1">
        <f>G5*('"Fine Tune" Variables'!$C$16*12)*'"Fine Tune" Variables'!$I$12/4</f>
        <v>0</v>
      </c>
      <c r="AC13" s="1">
        <f>H5*('"Fine Tune" Variables'!$C$16*12)*'"Fine Tune" Variables'!$I$12/4</f>
        <v>0</v>
      </c>
      <c r="AD13" s="1">
        <f>I5*('"Fine Tune" Variables'!$C$16*12)*'"Fine Tune" Variables'!$I$12/4</f>
        <v>0</v>
      </c>
      <c r="AE13" s="1">
        <f>J5*('"Fine Tune" Variables'!$C$16*12)*'"Fine Tune" Variables'!$I$12/4</f>
        <v>0</v>
      </c>
      <c r="AF13" s="1">
        <f>K5*('"Fine Tune" Variables'!$C$16*12)*'"Fine Tune" Variables'!$I$12/4</f>
        <v>0</v>
      </c>
      <c r="AG13" s="1">
        <f>L5*('"Fine Tune" Variables'!$C$16*12)*'"Fine Tune" Variables'!$I$12/4</f>
        <v>0</v>
      </c>
      <c r="AH13" s="1">
        <f>M5*('"Fine Tune" Variables'!$C$16*12)*'"Fine Tune" Variables'!$I$12/4</f>
        <v>0</v>
      </c>
      <c r="AI13" s="1">
        <f>N5*('"Fine Tune" Variables'!$C$16*12)*'"Fine Tune" Variables'!$I$12/4</f>
        <v>0</v>
      </c>
      <c r="AJ13" s="1">
        <f>O5*('"Fine Tune" Variables'!$C$16*12)*'"Fine Tune" Variables'!$I$12/4</f>
        <v>0</v>
      </c>
      <c r="AK13" s="1">
        <f>P5*('"Fine Tune" Variables'!$C$16*12)*'"Fine Tune" Variables'!$I$12/4</f>
        <v>0</v>
      </c>
      <c r="AL13" s="1">
        <f>Q5*('"Fine Tune" Variables'!$C$16*12)*'"Fine Tune" Variables'!$I$12/4</f>
        <v>0</v>
      </c>
      <c r="AM13" s="1">
        <f>R5*('"Fine Tune" Variables'!$C$16*12)*'"Fine Tune" Variables'!$I$12/4</f>
        <v>0</v>
      </c>
      <c r="AN13" s="1">
        <f>S5*('"Fine Tune" Variables'!$C$16*12)*'"Fine Tune" Variables'!$I$12/4</f>
        <v>0</v>
      </c>
      <c r="AO13" s="1">
        <f>T5*('"Fine Tune" Variables'!$C$16*12)*'"Fine Tune" Variables'!$I$12/4</f>
        <v>0</v>
      </c>
      <c r="AP13" s="1">
        <f>U5*('"Fine Tune" Variables'!$C$16*12)*'"Fine Tune" Variables'!$I$12/4</f>
        <v>0</v>
      </c>
      <c r="AQ13" s="1">
        <f>V5*('"Fine Tune" Variables'!$C$16*12)*'"Fine Tune" Variables'!$I$12/4</f>
        <v>0</v>
      </c>
      <c r="AR13" s="1">
        <f>W5*('"Fine Tune" Variables'!$C$16*12)*'"Fine Tune" Variables'!$I$12/4</f>
        <v>0</v>
      </c>
      <c r="AS13" s="1">
        <f>X5*('"Fine Tune" Variables'!$C$16*12)*'"Fine Tune" Variables'!$I$12/4</f>
        <v>0</v>
      </c>
      <c r="AT13" s="1">
        <f>Y5*('"Fine Tune" Variables'!$C$16*12)*'"Fine Tune" Variables'!$I$12/4</f>
        <v>0</v>
      </c>
      <c r="AU13" s="1">
        <f>Z5*('"Fine Tune" Variables'!$C$16*12)*'"Fine Tune" Variables'!$I$12/4</f>
        <v>0</v>
      </c>
      <c r="AV13" s="1">
        <f>AA5*('"Fine Tune" Variables'!$C$16*12)*'"Fine Tune" Variables'!$I$12/4</f>
        <v>0</v>
      </c>
      <c r="AW13" s="1">
        <f>AB5*('"Fine Tune" Variables'!$C$16*12)*'"Fine Tune" Variables'!$I$12/4</f>
        <v>0</v>
      </c>
    </row>
    <row r="14" spans="1:55" hidden="1" x14ac:dyDescent="0.25">
      <c r="B14" s="1"/>
      <c r="C14" s="1"/>
      <c r="D14" s="1"/>
      <c r="E14" s="1"/>
      <c r="F14" s="1"/>
      <c r="G14" s="1"/>
      <c r="H14" s="1"/>
      <c r="I14" s="1"/>
      <c r="J14" s="1"/>
      <c r="K14" s="1"/>
      <c r="L14" s="1"/>
      <c r="M14" s="1"/>
      <c r="N14" s="1"/>
      <c r="O14" s="1"/>
      <c r="P14" s="1"/>
      <c r="Q14" s="1"/>
      <c r="R14" s="1"/>
      <c r="S14" s="1"/>
      <c r="T14" s="1"/>
      <c r="U14" s="1"/>
      <c r="V14" s="1"/>
      <c r="W14" s="1"/>
      <c r="X14" s="1"/>
      <c r="Y14" s="1"/>
      <c r="Z14" s="1">
        <f>B5*('"Fine Tune" Variables'!$C$16*12)*'"Fine Tune" Variables'!$I$12/4</f>
        <v>0</v>
      </c>
      <c r="AA14" s="1">
        <f>C5*('"Fine Tune" Variables'!$C$16*12)*'"Fine Tune" Variables'!$I$12/4</f>
        <v>0</v>
      </c>
      <c r="AB14" s="1">
        <f>D5*('"Fine Tune" Variables'!$C$16*12)*'"Fine Tune" Variables'!$I$12/4</f>
        <v>0</v>
      </c>
      <c r="AC14" s="1">
        <f>E5*('"Fine Tune" Variables'!$C$16*12)*'"Fine Tune" Variables'!$I$12/4</f>
        <v>0</v>
      </c>
      <c r="AD14" s="1">
        <f>F5*('"Fine Tune" Variables'!$C$16*12)*'"Fine Tune" Variables'!$I$12/4</f>
        <v>0</v>
      </c>
      <c r="AE14" s="1">
        <f>G5*('"Fine Tune" Variables'!$C$16*12)*'"Fine Tune" Variables'!$I$12/4</f>
        <v>0</v>
      </c>
      <c r="AF14" s="1">
        <f>H5*('"Fine Tune" Variables'!$C$16*12)*'"Fine Tune" Variables'!$I$12/4</f>
        <v>0</v>
      </c>
      <c r="AG14" s="1">
        <f>I5*('"Fine Tune" Variables'!$C$16*12)*'"Fine Tune" Variables'!$I$12/4</f>
        <v>0</v>
      </c>
      <c r="AH14" s="1">
        <f>J5*('"Fine Tune" Variables'!$C$16*12)*'"Fine Tune" Variables'!$I$12/4</f>
        <v>0</v>
      </c>
      <c r="AI14" s="1">
        <f>K5*('"Fine Tune" Variables'!$C$16*12)*'"Fine Tune" Variables'!$I$12/4</f>
        <v>0</v>
      </c>
      <c r="AJ14" s="1">
        <f>L5*('"Fine Tune" Variables'!$C$16*12)*'"Fine Tune" Variables'!$I$12/4</f>
        <v>0</v>
      </c>
      <c r="AK14" s="1">
        <f>M5*('"Fine Tune" Variables'!$C$16*12)*'"Fine Tune" Variables'!$I$12/4</f>
        <v>0</v>
      </c>
      <c r="AL14" s="1">
        <f>N5*('"Fine Tune" Variables'!$C$16*12)*'"Fine Tune" Variables'!$I$12/4</f>
        <v>0</v>
      </c>
      <c r="AM14" s="1">
        <f>O5*('"Fine Tune" Variables'!$C$16*12)*'"Fine Tune" Variables'!$I$12/4</f>
        <v>0</v>
      </c>
      <c r="AN14" s="1">
        <f>P5*('"Fine Tune" Variables'!$C$16*12)*'"Fine Tune" Variables'!$I$12/4</f>
        <v>0</v>
      </c>
      <c r="AO14" s="1">
        <f>Q5*('"Fine Tune" Variables'!$C$16*12)*'"Fine Tune" Variables'!$I$12/4</f>
        <v>0</v>
      </c>
      <c r="AP14" s="1">
        <f>R5*('"Fine Tune" Variables'!$C$16*12)*'"Fine Tune" Variables'!$I$12/4</f>
        <v>0</v>
      </c>
      <c r="AQ14" s="1">
        <f>S5*('"Fine Tune" Variables'!$C$16*12)*'"Fine Tune" Variables'!$I$12/4</f>
        <v>0</v>
      </c>
      <c r="AR14" s="1">
        <f>T5*('"Fine Tune" Variables'!$C$16*12)*'"Fine Tune" Variables'!$I$12/4</f>
        <v>0</v>
      </c>
      <c r="AS14" s="1">
        <f>U5*('"Fine Tune" Variables'!$C$16*12)*'"Fine Tune" Variables'!$I$12/4</f>
        <v>0</v>
      </c>
      <c r="AT14" s="1">
        <f>V5*('"Fine Tune" Variables'!$C$16*12)*'"Fine Tune" Variables'!$I$12/4</f>
        <v>0</v>
      </c>
      <c r="AU14" s="1">
        <f>W5*('"Fine Tune" Variables'!$C$16*12)*'"Fine Tune" Variables'!$I$12/4</f>
        <v>0</v>
      </c>
      <c r="AV14" s="1">
        <f>X5*('"Fine Tune" Variables'!$C$16*12)*'"Fine Tune" Variables'!$I$12/4</f>
        <v>0</v>
      </c>
      <c r="AW14" s="1">
        <f>Y5*('"Fine Tune" Variables'!$C$16*12)*'"Fine Tune" Variables'!$I$12/4</f>
        <v>0</v>
      </c>
    </row>
    <row r="15" spans="1:55" hidden="1" x14ac:dyDescent="0.25">
      <c r="B15" s="1"/>
      <c r="C15" s="1"/>
      <c r="D15" s="38"/>
      <c r="E15" s="1"/>
      <c r="F15" s="1"/>
      <c r="G15" s="1"/>
      <c r="H15" s="1"/>
      <c r="I15" s="1"/>
      <c r="J15" s="1"/>
      <c r="K15" s="1"/>
      <c r="L15" s="1"/>
      <c r="M15" s="1"/>
      <c r="N15" s="1"/>
      <c r="O15" s="1"/>
      <c r="P15" s="1"/>
      <c r="Q15" s="1"/>
      <c r="R15" s="1"/>
      <c r="S15" s="1"/>
      <c r="T15" s="1"/>
      <c r="U15" s="1"/>
      <c r="V15" s="1"/>
      <c r="W15" s="1"/>
      <c r="X15" s="1"/>
      <c r="Y15" s="1"/>
      <c r="Z15" s="1"/>
      <c r="AA15" s="1"/>
      <c r="AB15" s="1"/>
      <c r="AC15" s="1">
        <f>B5*('"Fine Tune" Variables'!$C$16*12)*'"Fine Tune" Variables'!$I$12/4</f>
        <v>0</v>
      </c>
      <c r="AD15" s="1">
        <f>C5*('"Fine Tune" Variables'!$C$16*12)*'"Fine Tune" Variables'!$I$12/4</f>
        <v>0</v>
      </c>
      <c r="AE15" s="1">
        <f>D5*('"Fine Tune" Variables'!$C$16*12)*'"Fine Tune" Variables'!$I$12/4</f>
        <v>0</v>
      </c>
      <c r="AF15" s="1">
        <f>E5*('"Fine Tune" Variables'!$C$16*12)*'"Fine Tune" Variables'!$I$12/4</f>
        <v>0</v>
      </c>
      <c r="AG15" s="1">
        <f>F5*('"Fine Tune" Variables'!$C$16*12)*'"Fine Tune" Variables'!$I$12/4</f>
        <v>0</v>
      </c>
      <c r="AH15" s="1">
        <f>G5*('"Fine Tune" Variables'!$C$16*12)*'"Fine Tune" Variables'!$I$12/4</f>
        <v>0</v>
      </c>
      <c r="AI15" s="1">
        <f>H5*('"Fine Tune" Variables'!$C$16*12)*'"Fine Tune" Variables'!$I$12/4</f>
        <v>0</v>
      </c>
      <c r="AJ15" s="1">
        <f>I5*('"Fine Tune" Variables'!$C$16*12)*'"Fine Tune" Variables'!$I$12/4</f>
        <v>0</v>
      </c>
      <c r="AK15" s="1">
        <f>J5*('"Fine Tune" Variables'!$C$16*12)*'"Fine Tune" Variables'!$I$12/4</f>
        <v>0</v>
      </c>
      <c r="AL15" s="1">
        <f>K5*('"Fine Tune" Variables'!$C$16*12)*'"Fine Tune" Variables'!$I$12/4</f>
        <v>0</v>
      </c>
      <c r="AM15" s="1">
        <f>L5*('"Fine Tune" Variables'!$C$16*12)*'"Fine Tune" Variables'!$I$12/4</f>
        <v>0</v>
      </c>
      <c r="AN15" s="1">
        <f>M5*('"Fine Tune" Variables'!$C$16*12)*'"Fine Tune" Variables'!$I$12/4</f>
        <v>0</v>
      </c>
      <c r="AO15" s="1">
        <f>N5*('"Fine Tune" Variables'!$C$16*12)*'"Fine Tune" Variables'!$I$12/4</f>
        <v>0</v>
      </c>
      <c r="AP15" s="1">
        <f>O5*('"Fine Tune" Variables'!$C$16*12)*'"Fine Tune" Variables'!$I$12/4</f>
        <v>0</v>
      </c>
      <c r="AQ15" s="1">
        <f>P5*('"Fine Tune" Variables'!$C$16*12)*'"Fine Tune" Variables'!$I$12/4</f>
        <v>0</v>
      </c>
      <c r="AR15" s="1">
        <f>Q5*('"Fine Tune" Variables'!$C$16*12)*'"Fine Tune" Variables'!$I$12/4</f>
        <v>0</v>
      </c>
      <c r="AS15" s="1">
        <f>R5*('"Fine Tune" Variables'!$C$16*12)*'"Fine Tune" Variables'!$I$12/4</f>
        <v>0</v>
      </c>
      <c r="AT15" s="1">
        <f>S5*('"Fine Tune" Variables'!$C$16*12)*'"Fine Tune" Variables'!$I$12/4</f>
        <v>0</v>
      </c>
      <c r="AU15" s="1">
        <f>T5*('"Fine Tune" Variables'!$C$16*12)*'"Fine Tune" Variables'!$I$12/4</f>
        <v>0</v>
      </c>
      <c r="AV15" s="1">
        <f>U5*('"Fine Tune" Variables'!$C$16*12)*'"Fine Tune" Variables'!$I$12/4</f>
        <v>0</v>
      </c>
      <c r="AW15" s="1">
        <f>V5*('"Fine Tune" Variables'!$C$16*12)*'"Fine Tune" Variables'!$I$12/4</f>
        <v>0</v>
      </c>
    </row>
    <row r="16" spans="1:55" hidden="1" x14ac:dyDescent="0.2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f>B5*('"Fine Tune" Variables'!$C$16*12)*'"Fine Tune" Variables'!$I$12/4</f>
        <v>0</v>
      </c>
      <c r="AG16" s="1">
        <f>C5*('"Fine Tune" Variables'!$C$16*12)*'"Fine Tune" Variables'!$I$12/4</f>
        <v>0</v>
      </c>
      <c r="AH16" s="1">
        <f>D5*('"Fine Tune" Variables'!$C$16*12)*'"Fine Tune" Variables'!$I$12/4</f>
        <v>0</v>
      </c>
      <c r="AI16" s="1">
        <f>E5*('"Fine Tune" Variables'!$C$16*12)*'"Fine Tune" Variables'!$I$12/4</f>
        <v>0</v>
      </c>
      <c r="AJ16" s="1">
        <f>F5*('"Fine Tune" Variables'!$C$16*12)*'"Fine Tune" Variables'!$I$12/4</f>
        <v>0</v>
      </c>
      <c r="AK16" s="1">
        <f>G5*('"Fine Tune" Variables'!$C$16*12)*'"Fine Tune" Variables'!$I$12/4</f>
        <v>0</v>
      </c>
      <c r="AL16" s="1">
        <f>H5*('"Fine Tune" Variables'!$C$16*12)*'"Fine Tune" Variables'!$I$12/4</f>
        <v>0</v>
      </c>
      <c r="AM16" s="1">
        <f>I5*('"Fine Tune" Variables'!$C$16*12)*'"Fine Tune" Variables'!$I$12/4</f>
        <v>0</v>
      </c>
      <c r="AN16" s="1">
        <f>J5*('"Fine Tune" Variables'!$C$16*12)*'"Fine Tune" Variables'!$I$12/4</f>
        <v>0</v>
      </c>
      <c r="AO16" s="1">
        <f>K5*('"Fine Tune" Variables'!$C$16*12)*'"Fine Tune" Variables'!$I$12/4</f>
        <v>0</v>
      </c>
      <c r="AP16" s="1">
        <f>L5*('"Fine Tune" Variables'!$C$16*12)*'"Fine Tune" Variables'!$I$12/4</f>
        <v>0</v>
      </c>
      <c r="AQ16" s="1">
        <f>M5*('"Fine Tune" Variables'!$C$16*12)*'"Fine Tune" Variables'!$I$12/4</f>
        <v>0</v>
      </c>
      <c r="AR16" s="1">
        <f>N5*('"Fine Tune" Variables'!$C$16*12)*'"Fine Tune" Variables'!$I$12/4</f>
        <v>0</v>
      </c>
      <c r="AS16" s="1">
        <f>O5*('"Fine Tune" Variables'!$C$16*12)*'"Fine Tune" Variables'!$I$12/4</f>
        <v>0</v>
      </c>
      <c r="AT16" s="1">
        <f>P5*('"Fine Tune" Variables'!$C$16*12)*'"Fine Tune" Variables'!$I$12/4</f>
        <v>0</v>
      </c>
      <c r="AU16" s="1">
        <f>Q5*('"Fine Tune" Variables'!$C$16*12)*'"Fine Tune" Variables'!$I$12/4</f>
        <v>0</v>
      </c>
      <c r="AV16" s="1">
        <f>R5*('"Fine Tune" Variables'!$C$16*12)*'"Fine Tune" Variables'!$I$12/4</f>
        <v>0</v>
      </c>
      <c r="AW16" s="1">
        <f>S5*('"Fine Tune" Variables'!$C$16*12)*'"Fine Tune" Variables'!$I$12/4</f>
        <v>0</v>
      </c>
    </row>
    <row r="17" spans="1:51" hidden="1" x14ac:dyDescent="0.25">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f>B5*('"Fine Tune" Variables'!$C$16*12)*'"Fine Tune" Variables'!$I$12/4</f>
        <v>0</v>
      </c>
      <c r="AJ17" s="1">
        <f>C5*('"Fine Tune" Variables'!$C$16*12)*'"Fine Tune" Variables'!$I$12/4</f>
        <v>0</v>
      </c>
      <c r="AK17" s="1">
        <f>D5*('"Fine Tune" Variables'!$C$16*12)*'"Fine Tune" Variables'!$I$12/4</f>
        <v>0</v>
      </c>
      <c r="AL17" s="1">
        <f>E5*('"Fine Tune" Variables'!$C$16*12)*'"Fine Tune" Variables'!$I$12/4</f>
        <v>0</v>
      </c>
      <c r="AM17" s="1">
        <f>F5*('"Fine Tune" Variables'!$C$16*12)*'"Fine Tune" Variables'!$I$12/4</f>
        <v>0</v>
      </c>
      <c r="AN17" s="1">
        <f>G5*('"Fine Tune" Variables'!$C$16*12)*'"Fine Tune" Variables'!$I$12/4</f>
        <v>0</v>
      </c>
      <c r="AO17" s="1">
        <f>H5*('"Fine Tune" Variables'!$C$16*12)*'"Fine Tune" Variables'!$I$12/4</f>
        <v>0</v>
      </c>
      <c r="AP17" s="1">
        <f>I5*('"Fine Tune" Variables'!$C$16*12)*'"Fine Tune" Variables'!$I$12/4</f>
        <v>0</v>
      </c>
      <c r="AQ17" s="1">
        <f>J5*('"Fine Tune" Variables'!$C$16*12)*'"Fine Tune" Variables'!$I$12/4</f>
        <v>0</v>
      </c>
      <c r="AR17" s="1">
        <f>K5*('"Fine Tune" Variables'!$C$16*12)*'"Fine Tune" Variables'!$I$12/4</f>
        <v>0</v>
      </c>
      <c r="AS17" s="1">
        <f>L5*('"Fine Tune" Variables'!$C$16*12)*'"Fine Tune" Variables'!$I$12/4</f>
        <v>0</v>
      </c>
      <c r="AT17" s="1">
        <f>M5*('"Fine Tune" Variables'!$C$16*12)*'"Fine Tune" Variables'!$I$12/4</f>
        <v>0</v>
      </c>
      <c r="AU17" s="1">
        <f>N5*('"Fine Tune" Variables'!$C$16*12)*'"Fine Tune" Variables'!$I$12/4</f>
        <v>0</v>
      </c>
      <c r="AV17" s="1">
        <f>O5*('"Fine Tune" Variables'!$C$16*12)*'"Fine Tune" Variables'!$I$12/4</f>
        <v>0</v>
      </c>
      <c r="AW17" s="1">
        <f>P5*('"Fine Tune" Variables'!$C$16*12)*'"Fine Tune" Variables'!$I$12/4</f>
        <v>0</v>
      </c>
    </row>
    <row r="18" spans="1:51" hidden="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f>B5*('"Fine Tune" Variables'!$C$16*12)*'"Fine Tune" Variables'!$I$12/4</f>
        <v>0</v>
      </c>
      <c r="AM18" s="1">
        <f>C5*('"Fine Tune" Variables'!$C$16*12)*'"Fine Tune" Variables'!$I$12/4</f>
        <v>0</v>
      </c>
      <c r="AN18" s="1">
        <f>D5*('"Fine Tune" Variables'!$C$16*12)*'"Fine Tune" Variables'!$I$12/4</f>
        <v>0</v>
      </c>
      <c r="AO18" s="1">
        <f>E5*('"Fine Tune" Variables'!$C$16*12)*'"Fine Tune" Variables'!$I$12/4</f>
        <v>0</v>
      </c>
      <c r="AP18" s="1">
        <f>F5*('"Fine Tune" Variables'!$C$16*12)*'"Fine Tune" Variables'!$I$12/4</f>
        <v>0</v>
      </c>
      <c r="AQ18" s="1">
        <f>G5*('"Fine Tune" Variables'!$C$16*12)*'"Fine Tune" Variables'!$I$12/4</f>
        <v>0</v>
      </c>
      <c r="AR18" s="1">
        <f>H5*('"Fine Tune" Variables'!$C$16*12)*'"Fine Tune" Variables'!$I$12/4</f>
        <v>0</v>
      </c>
      <c r="AS18" s="1">
        <f>I5*('"Fine Tune" Variables'!$C$16*12)*'"Fine Tune" Variables'!$I$12/4</f>
        <v>0</v>
      </c>
      <c r="AT18" s="1">
        <f>J5*('"Fine Tune" Variables'!$C$16*12)*'"Fine Tune" Variables'!$I$12/4</f>
        <v>0</v>
      </c>
      <c r="AU18" s="1">
        <f>K5*('"Fine Tune" Variables'!$C$16*12)*'"Fine Tune" Variables'!$I$12/4</f>
        <v>0</v>
      </c>
      <c r="AV18" s="1">
        <f>L5*('"Fine Tune" Variables'!$C$16*12)*'"Fine Tune" Variables'!$I$12/4</f>
        <v>0</v>
      </c>
      <c r="AW18" s="1">
        <f>M5*('"Fine Tune" Variables'!$C$16*12)*'"Fine Tune" Variables'!$I$12/4</f>
        <v>0</v>
      </c>
    </row>
    <row r="19" spans="1:51" hidden="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f>B5*('"Fine Tune" Variables'!$C$16*12)*'"Fine Tune" Variables'!$I$12/4</f>
        <v>0</v>
      </c>
      <c r="AP19" s="1">
        <f>C5*('"Fine Tune" Variables'!$C$16*12)*'"Fine Tune" Variables'!$I$12/4</f>
        <v>0</v>
      </c>
      <c r="AQ19" s="1">
        <f>D5*('"Fine Tune" Variables'!$C$16*12)*'"Fine Tune" Variables'!$I$12/4</f>
        <v>0</v>
      </c>
      <c r="AR19" s="1">
        <f>E5*('"Fine Tune" Variables'!$C$16*12)*'"Fine Tune" Variables'!$I$12/4</f>
        <v>0</v>
      </c>
      <c r="AS19" s="1">
        <f>F5*('"Fine Tune" Variables'!$C$16*12)*'"Fine Tune" Variables'!$I$12/4</f>
        <v>0</v>
      </c>
      <c r="AT19" s="1">
        <f>G5*('"Fine Tune" Variables'!$C$16*12)*'"Fine Tune" Variables'!$I$12/4</f>
        <v>0</v>
      </c>
      <c r="AU19" s="1">
        <f>H5*('"Fine Tune" Variables'!$C$16*12)*'"Fine Tune" Variables'!$I$12/4</f>
        <v>0</v>
      </c>
      <c r="AV19" s="1">
        <f>I5*('"Fine Tune" Variables'!$C$16*12)*'"Fine Tune" Variables'!$I$12/4</f>
        <v>0</v>
      </c>
      <c r="AW19" s="1">
        <f>J5*('"Fine Tune" Variables'!$C$16*12)*'"Fine Tune" Variables'!$I$12/4</f>
        <v>0</v>
      </c>
    </row>
    <row r="20" spans="1:51" hidden="1" x14ac:dyDescent="0.25">
      <c r="A20" s="13"/>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f>B5*('"Fine Tune" Variables'!$C$16*12)*'"Fine Tune" Variables'!$I$12/4</f>
        <v>0</v>
      </c>
      <c r="AS20" s="1">
        <f>C5*('"Fine Tune" Variables'!$C$16*12)*'"Fine Tune" Variables'!$I$12/4</f>
        <v>0</v>
      </c>
      <c r="AT20" s="1">
        <f>D5*('"Fine Tune" Variables'!$C$16*12)*'"Fine Tune" Variables'!$I$12/4</f>
        <v>0</v>
      </c>
      <c r="AU20" s="1">
        <f>E5*('"Fine Tune" Variables'!$C$16*12)*'"Fine Tune" Variables'!$I$12/4</f>
        <v>0</v>
      </c>
      <c r="AV20" s="1">
        <f>F5*('"Fine Tune" Variables'!$C$16*12)*'"Fine Tune" Variables'!$I$12/4</f>
        <v>0</v>
      </c>
      <c r="AW20" s="1">
        <f>G5*('"Fine Tune" Variables'!$C$16*12)*'"Fine Tune" Variables'!$I$12/4</f>
        <v>0</v>
      </c>
    </row>
    <row r="21" spans="1:51" hidden="1"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f>B5*('"Fine Tune" Variables'!$C$16*12)*'"Fine Tune" Variables'!$I$12/4</f>
        <v>0</v>
      </c>
      <c r="AV21" s="2">
        <f>C5*('"Fine Tune" Variables'!$C$16*12)*'"Fine Tune" Variables'!$I$12/4</f>
        <v>0</v>
      </c>
      <c r="AW21" s="2">
        <f>D5*('"Fine Tune" Variables'!$C$16*12)*'"Fine Tune" Variables'!$I$12/4</f>
        <v>0</v>
      </c>
    </row>
    <row r="22" spans="1:51" hidden="1" x14ac:dyDescent="0.25">
      <c r="B22" s="1">
        <f>SUM(B7:B21)</f>
        <v>0</v>
      </c>
      <c r="C22" s="1">
        <f t="shared" ref="C22:AW22" si="2">SUM(C7:C21)</f>
        <v>0</v>
      </c>
      <c r="D22" s="1">
        <f t="shared" si="2"/>
        <v>0</v>
      </c>
      <c r="E22" s="1">
        <f t="shared" si="2"/>
        <v>0</v>
      </c>
      <c r="F22" s="1">
        <f t="shared" si="2"/>
        <v>0</v>
      </c>
      <c r="G22" s="1">
        <f t="shared" si="2"/>
        <v>0</v>
      </c>
      <c r="H22" s="1">
        <f t="shared" si="2"/>
        <v>0</v>
      </c>
      <c r="I22" s="1">
        <f t="shared" si="2"/>
        <v>0</v>
      </c>
      <c r="J22" s="1">
        <f t="shared" si="2"/>
        <v>0</v>
      </c>
      <c r="K22" s="1">
        <f t="shared" si="2"/>
        <v>0</v>
      </c>
      <c r="L22" s="1">
        <f t="shared" si="2"/>
        <v>0</v>
      </c>
      <c r="M22" s="1">
        <f t="shared" si="2"/>
        <v>0</v>
      </c>
      <c r="N22" s="1">
        <f t="shared" si="2"/>
        <v>0</v>
      </c>
      <c r="O22" s="1">
        <f t="shared" si="2"/>
        <v>0</v>
      </c>
      <c r="P22" s="1">
        <f t="shared" si="2"/>
        <v>0</v>
      </c>
      <c r="Q22" s="1">
        <f t="shared" si="2"/>
        <v>0</v>
      </c>
      <c r="R22" s="1">
        <f t="shared" si="2"/>
        <v>0</v>
      </c>
      <c r="S22" s="1">
        <f t="shared" si="2"/>
        <v>0</v>
      </c>
      <c r="T22" s="1">
        <f t="shared" si="2"/>
        <v>0</v>
      </c>
      <c r="U22" s="1">
        <f t="shared" si="2"/>
        <v>0</v>
      </c>
      <c r="V22" s="1">
        <f t="shared" si="2"/>
        <v>0</v>
      </c>
      <c r="W22" s="1">
        <f t="shared" si="2"/>
        <v>0</v>
      </c>
      <c r="X22" s="1">
        <f t="shared" si="2"/>
        <v>0</v>
      </c>
      <c r="Y22" s="1">
        <f t="shared" si="2"/>
        <v>0</v>
      </c>
      <c r="Z22" s="1">
        <f t="shared" si="2"/>
        <v>0</v>
      </c>
      <c r="AA22" s="1">
        <f t="shared" si="2"/>
        <v>0</v>
      </c>
      <c r="AB22" s="1">
        <f t="shared" si="2"/>
        <v>0</v>
      </c>
      <c r="AC22" s="1">
        <f t="shared" si="2"/>
        <v>0</v>
      </c>
      <c r="AD22" s="1">
        <f t="shared" si="2"/>
        <v>0</v>
      </c>
      <c r="AE22" s="1">
        <f t="shared" si="2"/>
        <v>0</v>
      </c>
      <c r="AF22" s="1">
        <f t="shared" si="2"/>
        <v>0</v>
      </c>
      <c r="AG22" s="1">
        <f t="shared" si="2"/>
        <v>0</v>
      </c>
      <c r="AH22" s="1">
        <f t="shared" si="2"/>
        <v>0</v>
      </c>
      <c r="AI22" s="1">
        <f t="shared" si="2"/>
        <v>0</v>
      </c>
      <c r="AJ22" s="1">
        <f t="shared" si="2"/>
        <v>0</v>
      </c>
      <c r="AK22" s="1">
        <f t="shared" si="2"/>
        <v>0</v>
      </c>
      <c r="AL22" s="1">
        <f t="shared" si="2"/>
        <v>0</v>
      </c>
      <c r="AM22" s="1">
        <f t="shared" si="2"/>
        <v>0</v>
      </c>
      <c r="AN22" s="1">
        <f t="shared" si="2"/>
        <v>0</v>
      </c>
      <c r="AO22" s="1">
        <f t="shared" si="2"/>
        <v>0</v>
      </c>
      <c r="AP22" s="1">
        <f t="shared" si="2"/>
        <v>0</v>
      </c>
      <c r="AQ22" s="1">
        <f t="shared" si="2"/>
        <v>0</v>
      </c>
      <c r="AR22" s="1">
        <f t="shared" si="2"/>
        <v>0</v>
      </c>
      <c r="AS22" s="1">
        <f t="shared" si="2"/>
        <v>0</v>
      </c>
      <c r="AT22" s="1">
        <f t="shared" si="2"/>
        <v>0</v>
      </c>
      <c r="AU22" s="1">
        <f t="shared" si="2"/>
        <v>0</v>
      </c>
      <c r="AV22" s="1">
        <f t="shared" si="2"/>
        <v>0</v>
      </c>
      <c r="AW22" s="1">
        <f t="shared" si="2"/>
        <v>0</v>
      </c>
      <c r="AY22" s="1"/>
    </row>
    <row r="23" spans="1:51" hidden="1" x14ac:dyDescent="0.25"/>
    <row r="24" spans="1:51" s="11" customFormat="1" hidden="1" x14ac:dyDescent="0.25">
      <c r="A24" s="13" t="s">
        <v>36</v>
      </c>
    </row>
    <row r="25" spans="1:51" s="11" customFormat="1" hidden="1" x14ac:dyDescent="0.25">
      <c r="B25" s="36"/>
      <c r="C25" s="36"/>
      <c r="D25" s="36"/>
      <c r="E25" s="36">
        <f>B5*('"Fine Tune" Variables'!$C$16*12)*'"Fine Tune" Variables'!$J$12/4</f>
        <v>0</v>
      </c>
      <c r="F25" s="36">
        <f>C5*('"Fine Tune" Variables'!$C$16*12)*'"Fine Tune" Variables'!$J$12/4</f>
        <v>0</v>
      </c>
      <c r="G25" s="36">
        <f>D5*('"Fine Tune" Variables'!$C$16*12)*'"Fine Tune" Variables'!$J$12/4</f>
        <v>0</v>
      </c>
      <c r="H25" s="36">
        <f>E5*('"Fine Tune" Variables'!$C$16*12)*'"Fine Tune" Variables'!$J$12/4</f>
        <v>0</v>
      </c>
      <c r="I25" s="36">
        <f>F5*('"Fine Tune" Variables'!$C$16*12)*'"Fine Tune" Variables'!$J$12/4</f>
        <v>0</v>
      </c>
      <c r="J25" s="36">
        <f>G5*('"Fine Tune" Variables'!$C$16*12)*'"Fine Tune" Variables'!$J$12/4</f>
        <v>0</v>
      </c>
      <c r="K25" s="36">
        <f>H5*('"Fine Tune" Variables'!$C$16*12)*'"Fine Tune" Variables'!$J$12/4</f>
        <v>0</v>
      </c>
      <c r="L25" s="36">
        <f>I5*('"Fine Tune" Variables'!$C$16*12)*'"Fine Tune" Variables'!$J$12/4</f>
        <v>0</v>
      </c>
      <c r="M25" s="36">
        <f>J5*('"Fine Tune" Variables'!$C$16*12)*'"Fine Tune" Variables'!$J$12/4</f>
        <v>0</v>
      </c>
      <c r="N25" s="36">
        <f>K5*('"Fine Tune" Variables'!$C$16*12)*'"Fine Tune" Variables'!$J$12/4</f>
        <v>0</v>
      </c>
      <c r="O25" s="36">
        <f>L5*('"Fine Tune" Variables'!$C$16*12)*'"Fine Tune" Variables'!$J$12/4</f>
        <v>0</v>
      </c>
      <c r="P25" s="36">
        <f>M5*('"Fine Tune" Variables'!$C$16*12)*'"Fine Tune" Variables'!$J$12/4</f>
        <v>0</v>
      </c>
      <c r="Q25" s="36">
        <f>N5*('"Fine Tune" Variables'!$C$16*12)*'"Fine Tune" Variables'!$J$12/4</f>
        <v>0</v>
      </c>
      <c r="R25" s="36">
        <f>O5*('"Fine Tune" Variables'!$C$16*12)*'"Fine Tune" Variables'!$J$12/4</f>
        <v>0</v>
      </c>
      <c r="S25" s="36">
        <f>P5*('"Fine Tune" Variables'!$C$16*12)*'"Fine Tune" Variables'!$J$12/4</f>
        <v>0</v>
      </c>
      <c r="T25" s="36">
        <f>Q5*('"Fine Tune" Variables'!$C$16*12)*'"Fine Tune" Variables'!$J$12/4</f>
        <v>0</v>
      </c>
      <c r="U25" s="36">
        <f>R5*('"Fine Tune" Variables'!$C$16*12)*'"Fine Tune" Variables'!$J$12/4</f>
        <v>0</v>
      </c>
      <c r="V25" s="36">
        <f>S5*('"Fine Tune" Variables'!$C$16*12)*'"Fine Tune" Variables'!$J$12/4</f>
        <v>0</v>
      </c>
      <c r="W25" s="36">
        <f>T5*('"Fine Tune" Variables'!$C$16*12)*'"Fine Tune" Variables'!$J$12/4</f>
        <v>0</v>
      </c>
      <c r="X25" s="36">
        <f>U5*('"Fine Tune" Variables'!$C$16*12)*'"Fine Tune" Variables'!$J$12/4</f>
        <v>0</v>
      </c>
      <c r="Y25" s="36">
        <f>V5*('"Fine Tune" Variables'!$C$16*12)*'"Fine Tune" Variables'!$J$12/4</f>
        <v>0</v>
      </c>
      <c r="Z25" s="36">
        <f>W5*('"Fine Tune" Variables'!$C$16*12)*'"Fine Tune" Variables'!$J$12/4</f>
        <v>0</v>
      </c>
      <c r="AA25" s="36">
        <f>X5*('"Fine Tune" Variables'!$C$16*12)*'"Fine Tune" Variables'!$J$12/4</f>
        <v>0</v>
      </c>
      <c r="AB25" s="36">
        <f>Y5*('"Fine Tune" Variables'!$C$16*12)*'"Fine Tune" Variables'!$J$12/4</f>
        <v>0</v>
      </c>
      <c r="AC25" s="36">
        <f>Z5*('"Fine Tune" Variables'!$C$16*12)*'"Fine Tune" Variables'!$J$12/4</f>
        <v>0</v>
      </c>
      <c r="AD25" s="36">
        <f>AA5*('"Fine Tune" Variables'!$C$16*12)*'"Fine Tune" Variables'!$J$12/4</f>
        <v>0</v>
      </c>
      <c r="AE25" s="36">
        <f>AB5*('"Fine Tune" Variables'!$C$16*12)*'"Fine Tune" Variables'!$J$12/4</f>
        <v>0</v>
      </c>
      <c r="AF25" s="36">
        <f>AC5*('"Fine Tune" Variables'!$C$16*12)*'"Fine Tune" Variables'!$J$12/4</f>
        <v>0</v>
      </c>
      <c r="AG25" s="36">
        <f>AD5*('"Fine Tune" Variables'!$C$16*12)*'"Fine Tune" Variables'!$J$12/4</f>
        <v>0</v>
      </c>
      <c r="AH25" s="36">
        <f>AE5*('"Fine Tune" Variables'!$C$16*12)*'"Fine Tune" Variables'!$J$12/4</f>
        <v>0</v>
      </c>
      <c r="AI25" s="36">
        <f>AF5*('"Fine Tune" Variables'!$C$16*12)*'"Fine Tune" Variables'!$J$12/4</f>
        <v>0</v>
      </c>
      <c r="AJ25" s="36">
        <f>AG5*('"Fine Tune" Variables'!$C$16*12)*'"Fine Tune" Variables'!$J$12/4</f>
        <v>0</v>
      </c>
      <c r="AK25" s="36">
        <f>AH5*('"Fine Tune" Variables'!$C$16*12)*'"Fine Tune" Variables'!$J$12/4</f>
        <v>0</v>
      </c>
      <c r="AL25" s="36">
        <f>AI5*('"Fine Tune" Variables'!$C$16*12)*'"Fine Tune" Variables'!$J$12/4</f>
        <v>0</v>
      </c>
      <c r="AM25" s="36">
        <f>AJ5*('"Fine Tune" Variables'!$C$16*12)*'"Fine Tune" Variables'!$J$12/4</f>
        <v>0</v>
      </c>
      <c r="AN25" s="36">
        <f>AK5*('"Fine Tune" Variables'!$C$16*12)*'"Fine Tune" Variables'!$J$12/4</f>
        <v>0</v>
      </c>
      <c r="AO25" s="36">
        <f>AL5*('"Fine Tune" Variables'!$C$16*12)*'"Fine Tune" Variables'!$J$12/4</f>
        <v>0</v>
      </c>
      <c r="AP25" s="36">
        <f>AM5*('"Fine Tune" Variables'!$C$16*12)*'"Fine Tune" Variables'!$J$12/4</f>
        <v>0</v>
      </c>
      <c r="AQ25" s="36">
        <f>AN5*('"Fine Tune" Variables'!$C$16*12)*'"Fine Tune" Variables'!$J$12/4</f>
        <v>0</v>
      </c>
      <c r="AR25" s="36">
        <f>AO5*('"Fine Tune" Variables'!$C$16*12)*'"Fine Tune" Variables'!$J$12/4</f>
        <v>0</v>
      </c>
      <c r="AS25" s="36">
        <f>AP5*('"Fine Tune" Variables'!$C$16*12)*'"Fine Tune" Variables'!$J$12/4</f>
        <v>0</v>
      </c>
      <c r="AT25" s="36">
        <f>AQ5*('"Fine Tune" Variables'!$C$16*12)*'"Fine Tune" Variables'!$J$12/4</f>
        <v>0</v>
      </c>
      <c r="AU25" s="36">
        <f>AR5*('"Fine Tune" Variables'!$C$16*12)*'"Fine Tune" Variables'!$J$12/4</f>
        <v>0</v>
      </c>
      <c r="AV25" s="36">
        <f>AS5*('"Fine Tune" Variables'!$C$16*12)*'"Fine Tune" Variables'!$J$12/4</f>
        <v>0</v>
      </c>
      <c r="AW25" s="36">
        <f>AT5*('"Fine Tune" Variables'!$C$16*12)*'"Fine Tune" Variables'!$J$12/4</f>
        <v>0</v>
      </c>
    </row>
    <row r="26" spans="1:51" s="11" customFormat="1" hidden="1" x14ac:dyDescent="0.25">
      <c r="B26" s="36"/>
      <c r="C26" s="36"/>
      <c r="D26" s="36"/>
      <c r="E26" s="36"/>
      <c r="F26" s="36"/>
      <c r="G26" s="36"/>
      <c r="H26" s="36">
        <f>B5*('"Fine Tune" Variables'!$C$16*12)*'"Fine Tune" Variables'!$J$12/4</f>
        <v>0</v>
      </c>
      <c r="I26" s="36">
        <f>C5*('"Fine Tune" Variables'!$C$16*12)*'"Fine Tune" Variables'!$J$12/4</f>
        <v>0</v>
      </c>
      <c r="J26" s="36">
        <f>D5*('"Fine Tune" Variables'!$C$16*12)*'"Fine Tune" Variables'!$J$12/4</f>
        <v>0</v>
      </c>
      <c r="K26" s="36">
        <f>E5*('"Fine Tune" Variables'!$C$16*12)*'"Fine Tune" Variables'!$J$12/4</f>
        <v>0</v>
      </c>
      <c r="L26" s="36">
        <f>F5*('"Fine Tune" Variables'!$C$16*12)*'"Fine Tune" Variables'!$J$12/4</f>
        <v>0</v>
      </c>
      <c r="M26" s="36">
        <f>G5*('"Fine Tune" Variables'!$C$16*12)*'"Fine Tune" Variables'!$J$12/4</f>
        <v>0</v>
      </c>
      <c r="N26" s="36">
        <f>H5*('"Fine Tune" Variables'!$C$16*12)*'"Fine Tune" Variables'!$J$12/4</f>
        <v>0</v>
      </c>
      <c r="O26" s="36">
        <f>I5*('"Fine Tune" Variables'!$C$16*12)*'"Fine Tune" Variables'!$J$12/4</f>
        <v>0</v>
      </c>
      <c r="P26" s="36">
        <f>J5*('"Fine Tune" Variables'!$C$16*12)*'"Fine Tune" Variables'!$J$12/4</f>
        <v>0</v>
      </c>
      <c r="Q26" s="36">
        <f>K5*('"Fine Tune" Variables'!$C$16*12)*'"Fine Tune" Variables'!$J$12/4</f>
        <v>0</v>
      </c>
      <c r="R26" s="36">
        <f>L5*('"Fine Tune" Variables'!$C$16*12)*'"Fine Tune" Variables'!$J$12/4</f>
        <v>0</v>
      </c>
      <c r="S26" s="36">
        <f>M5*('"Fine Tune" Variables'!$C$16*12)*'"Fine Tune" Variables'!$J$12/4</f>
        <v>0</v>
      </c>
      <c r="T26" s="36">
        <f>N5*('"Fine Tune" Variables'!$C$16*12)*'"Fine Tune" Variables'!$J$12/4</f>
        <v>0</v>
      </c>
      <c r="U26" s="36">
        <f>O5*('"Fine Tune" Variables'!$C$16*12)*'"Fine Tune" Variables'!$J$12/4</f>
        <v>0</v>
      </c>
      <c r="V26" s="36">
        <f>P5*('"Fine Tune" Variables'!$C$16*12)*'"Fine Tune" Variables'!$J$12/4</f>
        <v>0</v>
      </c>
      <c r="W26" s="36">
        <f>Q5*('"Fine Tune" Variables'!$C$16*12)*'"Fine Tune" Variables'!$J$12/4</f>
        <v>0</v>
      </c>
      <c r="X26" s="36">
        <f>R5*('"Fine Tune" Variables'!$C$16*12)*'"Fine Tune" Variables'!$J$12/4</f>
        <v>0</v>
      </c>
      <c r="Y26" s="36">
        <f>S5*('"Fine Tune" Variables'!$C$16*12)*'"Fine Tune" Variables'!$J$12/4</f>
        <v>0</v>
      </c>
      <c r="Z26" s="36">
        <f>T5*('"Fine Tune" Variables'!$C$16*12)*'"Fine Tune" Variables'!$J$12/4</f>
        <v>0</v>
      </c>
      <c r="AA26" s="36">
        <f>U5*('"Fine Tune" Variables'!$C$16*12)*'"Fine Tune" Variables'!$J$12/4</f>
        <v>0</v>
      </c>
      <c r="AB26" s="36">
        <f>V5*('"Fine Tune" Variables'!$C$16*12)*'"Fine Tune" Variables'!$J$12/4</f>
        <v>0</v>
      </c>
      <c r="AC26" s="36">
        <f>W5*('"Fine Tune" Variables'!$C$16*12)*'"Fine Tune" Variables'!$J$12/4</f>
        <v>0</v>
      </c>
      <c r="AD26" s="36">
        <f>X5*('"Fine Tune" Variables'!$C$16*12)*'"Fine Tune" Variables'!$J$12/4</f>
        <v>0</v>
      </c>
      <c r="AE26" s="36">
        <f>Y5*('"Fine Tune" Variables'!$C$16*12)*'"Fine Tune" Variables'!$J$12/4</f>
        <v>0</v>
      </c>
      <c r="AF26" s="36">
        <f>Z5*('"Fine Tune" Variables'!$C$16*12)*'"Fine Tune" Variables'!$J$12/4</f>
        <v>0</v>
      </c>
      <c r="AG26" s="36">
        <f>AA5*('"Fine Tune" Variables'!$C$16*12)*'"Fine Tune" Variables'!$J$12/4</f>
        <v>0</v>
      </c>
      <c r="AH26" s="36">
        <f>AB5*('"Fine Tune" Variables'!$C$16*12)*'"Fine Tune" Variables'!$J$12/4</f>
        <v>0</v>
      </c>
      <c r="AI26" s="36">
        <f>AC5*('"Fine Tune" Variables'!$C$16*12)*'"Fine Tune" Variables'!$J$12/4</f>
        <v>0</v>
      </c>
      <c r="AJ26" s="36">
        <f>AD5*('"Fine Tune" Variables'!$C$16*12)*'"Fine Tune" Variables'!$J$12/4</f>
        <v>0</v>
      </c>
      <c r="AK26" s="36">
        <f>AE5*('"Fine Tune" Variables'!$C$16*12)*'"Fine Tune" Variables'!$J$12/4</f>
        <v>0</v>
      </c>
      <c r="AL26" s="36">
        <f>AF5*('"Fine Tune" Variables'!$C$16*12)*'"Fine Tune" Variables'!$J$12/4</f>
        <v>0</v>
      </c>
      <c r="AM26" s="36">
        <f>AG5*('"Fine Tune" Variables'!$C$16*12)*'"Fine Tune" Variables'!$J$12/4</f>
        <v>0</v>
      </c>
      <c r="AN26" s="36">
        <f>AH5*('"Fine Tune" Variables'!$C$16*12)*'"Fine Tune" Variables'!$J$12/4</f>
        <v>0</v>
      </c>
      <c r="AO26" s="36">
        <f>AI5*('"Fine Tune" Variables'!$C$16*12)*'"Fine Tune" Variables'!$J$12/4</f>
        <v>0</v>
      </c>
      <c r="AP26" s="36">
        <f>AJ5*('"Fine Tune" Variables'!$C$16*12)*'"Fine Tune" Variables'!$J$12/4</f>
        <v>0</v>
      </c>
      <c r="AQ26" s="36">
        <f>AK5*('"Fine Tune" Variables'!$C$16*12)*'"Fine Tune" Variables'!$J$12/4</f>
        <v>0</v>
      </c>
      <c r="AR26" s="36">
        <f>AL5*('"Fine Tune" Variables'!$C$16*12)*'"Fine Tune" Variables'!$J$12/4</f>
        <v>0</v>
      </c>
      <c r="AS26" s="36">
        <f>AM5*('"Fine Tune" Variables'!$C$16*12)*'"Fine Tune" Variables'!$J$12/4</f>
        <v>0</v>
      </c>
      <c r="AT26" s="36">
        <f>AN5*('"Fine Tune" Variables'!$C$16*12)*'"Fine Tune" Variables'!$J$12/4</f>
        <v>0</v>
      </c>
      <c r="AU26" s="36">
        <f>AO5*('"Fine Tune" Variables'!$C$16*12)*'"Fine Tune" Variables'!$J$12/4</f>
        <v>0</v>
      </c>
      <c r="AV26" s="36">
        <f>AP5*('"Fine Tune" Variables'!$C$16*12)*'"Fine Tune" Variables'!$J$12/4</f>
        <v>0</v>
      </c>
      <c r="AW26" s="36">
        <f>AQ5*('"Fine Tune" Variables'!$C$16*12)*'"Fine Tune" Variables'!$J$12/4</f>
        <v>0</v>
      </c>
    </row>
    <row r="27" spans="1:51" s="11" customFormat="1" hidden="1" x14ac:dyDescent="0.25">
      <c r="B27" s="36"/>
      <c r="C27" s="36"/>
      <c r="D27" s="36"/>
      <c r="E27" s="36"/>
      <c r="F27" s="36"/>
      <c r="G27" s="36"/>
      <c r="H27" s="36"/>
      <c r="I27" s="36"/>
      <c r="J27" s="36"/>
      <c r="K27" s="36">
        <f>B5*('"Fine Tune" Variables'!$C$16*12)*'"Fine Tune" Variables'!$J$12/4</f>
        <v>0</v>
      </c>
      <c r="L27" s="36">
        <f>C5*('"Fine Tune" Variables'!$C$16*12)*'"Fine Tune" Variables'!$J$12/4</f>
        <v>0</v>
      </c>
      <c r="M27" s="36">
        <f>D5*('"Fine Tune" Variables'!$C$16*12)*'"Fine Tune" Variables'!$J$12/4</f>
        <v>0</v>
      </c>
      <c r="N27" s="36">
        <f>E5*('"Fine Tune" Variables'!$C$16*12)*'"Fine Tune" Variables'!$J$12/4</f>
        <v>0</v>
      </c>
      <c r="O27" s="36">
        <f>F5*('"Fine Tune" Variables'!$C$16*12)*'"Fine Tune" Variables'!$J$12/4</f>
        <v>0</v>
      </c>
      <c r="P27" s="36">
        <f>G5*('"Fine Tune" Variables'!$C$16*12)*'"Fine Tune" Variables'!$J$12/4</f>
        <v>0</v>
      </c>
      <c r="Q27" s="36">
        <f>H5*('"Fine Tune" Variables'!$C$16*12)*'"Fine Tune" Variables'!$J$12/4</f>
        <v>0</v>
      </c>
      <c r="R27" s="36">
        <f>I5*('"Fine Tune" Variables'!$C$16*12)*'"Fine Tune" Variables'!$J$12/4</f>
        <v>0</v>
      </c>
      <c r="S27" s="36">
        <f>J5*('"Fine Tune" Variables'!$C$16*12)*'"Fine Tune" Variables'!$J$12/4</f>
        <v>0</v>
      </c>
      <c r="T27" s="36">
        <f>K5*('"Fine Tune" Variables'!$C$16*12)*'"Fine Tune" Variables'!$J$12/4</f>
        <v>0</v>
      </c>
      <c r="U27" s="36">
        <f>L5*('"Fine Tune" Variables'!$C$16*12)*'"Fine Tune" Variables'!$J$12/4</f>
        <v>0</v>
      </c>
      <c r="V27" s="36">
        <f>M5*('"Fine Tune" Variables'!$C$16*12)*'"Fine Tune" Variables'!$J$12/4</f>
        <v>0</v>
      </c>
      <c r="W27" s="36">
        <f>N5*('"Fine Tune" Variables'!$C$16*12)*'"Fine Tune" Variables'!$J$12/4</f>
        <v>0</v>
      </c>
      <c r="X27" s="36">
        <f>O5*('"Fine Tune" Variables'!$C$16*12)*'"Fine Tune" Variables'!$J$12/4</f>
        <v>0</v>
      </c>
      <c r="Y27" s="36">
        <f>P5*('"Fine Tune" Variables'!$C$16*12)*'"Fine Tune" Variables'!$J$12/4</f>
        <v>0</v>
      </c>
      <c r="Z27" s="36">
        <f>Q5*('"Fine Tune" Variables'!$C$16*12)*'"Fine Tune" Variables'!$J$12/4</f>
        <v>0</v>
      </c>
      <c r="AA27" s="36">
        <f>R5*('"Fine Tune" Variables'!$C$16*12)*'"Fine Tune" Variables'!$J$12/4</f>
        <v>0</v>
      </c>
      <c r="AB27" s="36">
        <f>S5*('"Fine Tune" Variables'!$C$16*12)*'"Fine Tune" Variables'!$J$12/4</f>
        <v>0</v>
      </c>
      <c r="AC27" s="36">
        <f>T5*('"Fine Tune" Variables'!$C$16*12)*'"Fine Tune" Variables'!$J$12/4</f>
        <v>0</v>
      </c>
      <c r="AD27" s="36">
        <f>U5*('"Fine Tune" Variables'!$C$16*12)*'"Fine Tune" Variables'!$J$12/4</f>
        <v>0</v>
      </c>
      <c r="AE27" s="36">
        <f>V5*('"Fine Tune" Variables'!$C$16*12)*'"Fine Tune" Variables'!$J$12/4</f>
        <v>0</v>
      </c>
      <c r="AF27" s="36">
        <f>W5*('"Fine Tune" Variables'!$C$16*12)*'"Fine Tune" Variables'!$J$12/4</f>
        <v>0</v>
      </c>
      <c r="AG27" s="36">
        <f>X5*('"Fine Tune" Variables'!$C$16*12)*'"Fine Tune" Variables'!$J$12/4</f>
        <v>0</v>
      </c>
      <c r="AH27" s="36">
        <f>Y5*('"Fine Tune" Variables'!$C$16*12)*'"Fine Tune" Variables'!$J$12/4</f>
        <v>0</v>
      </c>
      <c r="AI27" s="36">
        <f>Z5*('"Fine Tune" Variables'!$C$16*12)*'"Fine Tune" Variables'!$J$12/4</f>
        <v>0</v>
      </c>
      <c r="AJ27" s="36">
        <f>AA5*('"Fine Tune" Variables'!$C$16*12)*'"Fine Tune" Variables'!$J$12/4</f>
        <v>0</v>
      </c>
      <c r="AK27" s="36">
        <f>AB5*('"Fine Tune" Variables'!$C$16*12)*'"Fine Tune" Variables'!$J$12/4</f>
        <v>0</v>
      </c>
      <c r="AL27" s="36">
        <f>AC5*('"Fine Tune" Variables'!$C$16*12)*'"Fine Tune" Variables'!$J$12/4</f>
        <v>0</v>
      </c>
      <c r="AM27" s="36">
        <f>AD5*('"Fine Tune" Variables'!$C$16*12)*'"Fine Tune" Variables'!$J$12/4</f>
        <v>0</v>
      </c>
      <c r="AN27" s="36">
        <f>AE5*('"Fine Tune" Variables'!$C$16*12)*'"Fine Tune" Variables'!$J$12/4</f>
        <v>0</v>
      </c>
      <c r="AO27" s="36">
        <f>AF5*('"Fine Tune" Variables'!$C$16*12)*'"Fine Tune" Variables'!$J$12/4</f>
        <v>0</v>
      </c>
      <c r="AP27" s="36">
        <f>AG5*('"Fine Tune" Variables'!$C$16*12)*'"Fine Tune" Variables'!$J$12/4</f>
        <v>0</v>
      </c>
      <c r="AQ27" s="36">
        <f>AH5*('"Fine Tune" Variables'!$C$16*12)*'"Fine Tune" Variables'!$J$12/4</f>
        <v>0</v>
      </c>
      <c r="AR27" s="36">
        <f>AI5*('"Fine Tune" Variables'!$C$16*12)*'"Fine Tune" Variables'!$J$12/4</f>
        <v>0</v>
      </c>
      <c r="AS27" s="36">
        <f>AJ5*('"Fine Tune" Variables'!$C$16*12)*'"Fine Tune" Variables'!$J$12/4</f>
        <v>0</v>
      </c>
      <c r="AT27" s="36">
        <f>AK5*('"Fine Tune" Variables'!$C$16*12)*'"Fine Tune" Variables'!$J$12/4</f>
        <v>0</v>
      </c>
      <c r="AU27" s="36">
        <f>AL5*('"Fine Tune" Variables'!$C$16*12)*'"Fine Tune" Variables'!$J$12/4</f>
        <v>0</v>
      </c>
      <c r="AV27" s="36">
        <f>AM5*('"Fine Tune" Variables'!$C$16*12)*'"Fine Tune" Variables'!$J$12/4</f>
        <v>0</v>
      </c>
      <c r="AW27" s="36">
        <f>AN5*('"Fine Tune" Variables'!$C$16*12)*'"Fine Tune" Variables'!$J$12/4</f>
        <v>0</v>
      </c>
    </row>
    <row r="28" spans="1:51" s="11" customFormat="1" hidden="1" x14ac:dyDescent="0.25">
      <c r="B28" s="36"/>
      <c r="C28" s="36"/>
      <c r="D28" s="36"/>
      <c r="E28" s="36"/>
      <c r="F28" s="36"/>
      <c r="G28" s="36"/>
      <c r="H28" s="36"/>
      <c r="I28" s="36"/>
      <c r="J28" s="36"/>
      <c r="K28" s="36"/>
      <c r="L28" s="36"/>
      <c r="M28" s="36"/>
      <c r="N28" s="36">
        <f>B5*('"Fine Tune" Variables'!$C$16*12)*'"Fine Tune" Variables'!$J$12/4</f>
        <v>0</v>
      </c>
      <c r="O28" s="36">
        <f>C5*('"Fine Tune" Variables'!$C$16*12)*'"Fine Tune" Variables'!$J$12/4</f>
        <v>0</v>
      </c>
      <c r="P28" s="36">
        <f>D5*('"Fine Tune" Variables'!$C$16*12)*'"Fine Tune" Variables'!$J$12/4</f>
        <v>0</v>
      </c>
      <c r="Q28" s="36">
        <f>E5*('"Fine Tune" Variables'!$C$16*12)*'"Fine Tune" Variables'!$J$12/4</f>
        <v>0</v>
      </c>
      <c r="R28" s="36">
        <f>F5*('"Fine Tune" Variables'!$C$16*12)*'"Fine Tune" Variables'!$J$12/4</f>
        <v>0</v>
      </c>
      <c r="S28" s="36">
        <f>G5*('"Fine Tune" Variables'!$C$16*12)*'"Fine Tune" Variables'!$J$12/4</f>
        <v>0</v>
      </c>
      <c r="T28" s="36">
        <f>H5*('"Fine Tune" Variables'!$C$16*12)*'"Fine Tune" Variables'!$J$12/4</f>
        <v>0</v>
      </c>
      <c r="U28" s="36">
        <f>I5*('"Fine Tune" Variables'!$C$16*12)*'"Fine Tune" Variables'!$J$12/4</f>
        <v>0</v>
      </c>
      <c r="V28" s="36">
        <f>J5*('"Fine Tune" Variables'!$C$16*12)*'"Fine Tune" Variables'!$J$12/4</f>
        <v>0</v>
      </c>
      <c r="W28" s="36">
        <f>K5*('"Fine Tune" Variables'!$C$16*12)*'"Fine Tune" Variables'!$J$12/4</f>
        <v>0</v>
      </c>
      <c r="X28" s="36">
        <f>L5*('"Fine Tune" Variables'!$C$16*12)*'"Fine Tune" Variables'!$J$12/4</f>
        <v>0</v>
      </c>
      <c r="Y28" s="36">
        <f>M5*('"Fine Tune" Variables'!$C$16*12)*'"Fine Tune" Variables'!$J$12/4</f>
        <v>0</v>
      </c>
      <c r="Z28" s="36">
        <f>N5*('"Fine Tune" Variables'!$C$16*12)*'"Fine Tune" Variables'!$J$12/4</f>
        <v>0</v>
      </c>
      <c r="AA28" s="36">
        <f>O5*('"Fine Tune" Variables'!$C$16*12)*'"Fine Tune" Variables'!$J$12/4</f>
        <v>0</v>
      </c>
      <c r="AB28" s="36">
        <f>P5*('"Fine Tune" Variables'!$C$16*12)*'"Fine Tune" Variables'!$J$12/4</f>
        <v>0</v>
      </c>
      <c r="AC28" s="36">
        <f>Q5*('"Fine Tune" Variables'!$C$16*12)*'"Fine Tune" Variables'!$J$12/4</f>
        <v>0</v>
      </c>
      <c r="AD28" s="36">
        <f>R5*('"Fine Tune" Variables'!$C$16*12)*'"Fine Tune" Variables'!$J$12/4</f>
        <v>0</v>
      </c>
      <c r="AE28" s="36">
        <f>S5*('"Fine Tune" Variables'!$C$16*12)*'"Fine Tune" Variables'!$J$12/4</f>
        <v>0</v>
      </c>
      <c r="AF28" s="36">
        <f>T5*('"Fine Tune" Variables'!$C$16*12)*'"Fine Tune" Variables'!$J$12/4</f>
        <v>0</v>
      </c>
      <c r="AG28" s="36">
        <f>U5*('"Fine Tune" Variables'!$C$16*12)*'"Fine Tune" Variables'!$J$12/4</f>
        <v>0</v>
      </c>
      <c r="AH28" s="36">
        <f>V5*('"Fine Tune" Variables'!$C$16*12)*'"Fine Tune" Variables'!$J$12/4</f>
        <v>0</v>
      </c>
      <c r="AI28" s="36">
        <f>W5*('"Fine Tune" Variables'!$C$16*12)*'"Fine Tune" Variables'!$J$12/4</f>
        <v>0</v>
      </c>
      <c r="AJ28" s="36">
        <f>X5*('"Fine Tune" Variables'!$C$16*12)*'"Fine Tune" Variables'!$J$12/4</f>
        <v>0</v>
      </c>
      <c r="AK28" s="36">
        <f>Y5*('"Fine Tune" Variables'!$C$16*12)*'"Fine Tune" Variables'!$J$12/4</f>
        <v>0</v>
      </c>
      <c r="AL28" s="36">
        <f>Z5*('"Fine Tune" Variables'!$C$16*12)*'"Fine Tune" Variables'!$J$12/4</f>
        <v>0</v>
      </c>
      <c r="AM28" s="36">
        <f>AA5*('"Fine Tune" Variables'!$C$16*12)*'"Fine Tune" Variables'!$J$12/4</f>
        <v>0</v>
      </c>
      <c r="AN28" s="36">
        <f>AB5*('"Fine Tune" Variables'!$C$16*12)*'"Fine Tune" Variables'!$J$12/4</f>
        <v>0</v>
      </c>
      <c r="AO28" s="36">
        <f>AC5*('"Fine Tune" Variables'!$C$16*12)*'"Fine Tune" Variables'!$J$12/4</f>
        <v>0</v>
      </c>
      <c r="AP28" s="36">
        <f>AD5*('"Fine Tune" Variables'!$C$16*12)*'"Fine Tune" Variables'!$J$12/4</f>
        <v>0</v>
      </c>
      <c r="AQ28" s="36">
        <f>AE5*('"Fine Tune" Variables'!$C$16*12)*'"Fine Tune" Variables'!$J$12/4</f>
        <v>0</v>
      </c>
      <c r="AR28" s="36">
        <f>AF5*('"Fine Tune" Variables'!$C$16*12)*'"Fine Tune" Variables'!$J$12/4</f>
        <v>0</v>
      </c>
      <c r="AS28" s="36">
        <f>AG5*('"Fine Tune" Variables'!$C$16*12)*'"Fine Tune" Variables'!$J$12/4</f>
        <v>0</v>
      </c>
      <c r="AT28" s="36">
        <f>AH5*('"Fine Tune" Variables'!$C$16*12)*'"Fine Tune" Variables'!$J$12/4</f>
        <v>0</v>
      </c>
      <c r="AU28" s="36">
        <f>AI5*('"Fine Tune" Variables'!$C$16*12)*'"Fine Tune" Variables'!$J$12/4</f>
        <v>0</v>
      </c>
      <c r="AV28" s="36">
        <f>AJ5*('"Fine Tune" Variables'!$C$16*12)*'"Fine Tune" Variables'!$J$12/4</f>
        <v>0</v>
      </c>
      <c r="AW28" s="36">
        <f>AK5*('"Fine Tune" Variables'!$C$16*12)*'"Fine Tune" Variables'!$J$12/4</f>
        <v>0</v>
      </c>
    </row>
    <row r="29" spans="1:51" s="11" customFormat="1" hidden="1" x14ac:dyDescent="0.25">
      <c r="B29" s="36"/>
      <c r="C29" s="36"/>
      <c r="D29" s="36"/>
      <c r="E29" s="36"/>
      <c r="F29" s="36"/>
      <c r="G29" s="36"/>
      <c r="H29" s="36"/>
      <c r="I29" s="36"/>
      <c r="J29" s="36"/>
      <c r="K29" s="36"/>
      <c r="L29" s="36"/>
      <c r="M29" s="36"/>
      <c r="N29" s="36"/>
      <c r="O29" s="36"/>
      <c r="P29" s="36"/>
      <c r="Q29" s="36">
        <f>B5*('"Fine Tune" Variables'!$C$16*12)*'"Fine Tune" Variables'!$J$12/4</f>
        <v>0</v>
      </c>
      <c r="R29" s="36">
        <f>C5*('"Fine Tune" Variables'!$C$16*12)*'"Fine Tune" Variables'!$J$12/4</f>
        <v>0</v>
      </c>
      <c r="S29" s="36">
        <f>D5*('"Fine Tune" Variables'!$C$16*12)*'"Fine Tune" Variables'!$J$12/4</f>
        <v>0</v>
      </c>
      <c r="T29" s="36">
        <f>E5*('"Fine Tune" Variables'!$C$16*12)*'"Fine Tune" Variables'!$J$12/4</f>
        <v>0</v>
      </c>
      <c r="U29" s="36">
        <f>F5*('"Fine Tune" Variables'!$C$16*12)*'"Fine Tune" Variables'!$J$12/4</f>
        <v>0</v>
      </c>
      <c r="V29" s="36">
        <f>G5*('"Fine Tune" Variables'!$C$16*12)*'"Fine Tune" Variables'!$J$12/4</f>
        <v>0</v>
      </c>
      <c r="W29" s="36">
        <f>H5*('"Fine Tune" Variables'!$C$16*12)*'"Fine Tune" Variables'!$J$12/4</f>
        <v>0</v>
      </c>
      <c r="X29" s="36">
        <f>I5*('"Fine Tune" Variables'!$C$16*12)*'"Fine Tune" Variables'!$J$12/4</f>
        <v>0</v>
      </c>
      <c r="Y29" s="36">
        <f>J5*('"Fine Tune" Variables'!$C$16*12)*'"Fine Tune" Variables'!$J$12/4</f>
        <v>0</v>
      </c>
      <c r="Z29" s="36">
        <f>K5*('"Fine Tune" Variables'!$C$16*12)*'"Fine Tune" Variables'!$J$12/4</f>
        <v>0</v>
      </c>
      <c r="AA29" s="36">
        <f>L5*('"Fine Tune" Variables'!$C$16*12)*'"Fine Tune" Variables'!$J$12/4</f>
        <v>0</v>
      </c>
      <c r="AB29" s="36">
        <f>M5*('"Fine Tune" Variables'!$C$16*12)*'"Fine Tune" Variables'!$J$12/4</f>
        <v>0</v>
      </c>
      <c r="AC29" s="36">
        <f>N5*('"Fine Tune" Variables'!$C$16*12)*'"Fine Tune" Variables'!$J$12/4</f>
        <v>0</v>
      </c>
      <c r="AD29" s="36">
        <f>O5*('"Fine Tune" Variables'!$C$16*12)*'"Fine Tune" Variables'!$J$12/4</f>
        <v>0</v>
      </c>
      <c r="AE29" s="36">
        <f>P5*('"Fine Tune" Variables'!$C$16*12)*'"Fine Tune" Variables'!$J$12/4</f>
        <v>0</v>
      </c>
      <c r="AF29" s="36">
        <f>Q5*('"Fine Tune" Variables'!$C$16*12)*'"Fine Tune" Variables'!$J$12/4</f>
        <v>0</v>
      </c>
      <c r="AG29" s="36">
        <f>R5*('"Fine Tune" Variables'!$C$16*12)*'"Fine Tune" Variables'!$J$12/4</f>
        <v>0</v>
      </c>
      <c r="AH29" s="36">
        <f>S5*('"Fine Tune" Variables'!$C$16*12)*'"Fine Tune" Variables'!$J$12/4</f>
        <v>0</v>
      </c>
      <c r="AI29" s="36">
        <f>T5*('"Fine Tune" Variables'!$C$16*12)*'"Fine Tune" Variables'!$J$12/4</f>
        <v>0</v>
      </c>
      <c r="AJ29" s="36">
        <f>U5*('"Fine Tune" Variables'!$C$16*12)*'"Fine Tune" Variables'!$J$12/4</f>
        <v>0</v>
      </c>
      <c r="AK29" s="36">
        <f>V5*('"Fine Tune" Variables'!$C$16*12)*'"Fine Tune" Variables'!$J$12/4</f>
        <v>0</v>
      </c>
      <c r="AL29" s="36">
        <f>W5*('"Fine Tune" Variables'!$C$16*12)*'"Fine Tune" Variables'!$J$12/4</f>
        <v>0</v>
      </c>
      <c r="AM29" s="36">
        <f>X5*('"Fine Tune" Variables'!$C$16*12)*'"Fine Tune" Variables'!$J$12/4</f>
        <v>0</v>
      </c>
      <c r="AN29" s="36">
        <f>Y5*('"Fine Tune" Variables'!$C$16*12)*'"Fine Tune" Variables'!$J$12/4</f>
        <v>0</v>
      </c>
      <c r="AO29" s="36">
        <f>Z5*('"Fine Tune" Variables'!$C$16*12)*'"Fine Tune" Variables'!$J$12/4</f>
        <v>0</v>
      </c>
      <c r="AP29" s="36">
        <f>AA5*('"Fine Tune" Variables'!$C$16*12)*'"Fine Tune" Variables'!$J$12/4</f>
        <v>0</v>
      </c>
      <c r="AQ29" s="36">
        <f>AB5*('"Fine Tune" Variables'!$C$16*12)*'"Fine Tune" Variables'!$J$12/4</f>
        <v>0</v>
      </c>
      <c r="AR29" s="36">
        <f>AC5*('"Fine Tune" Variables'!$C$16*12)*'"Fine Tune" Variables'!$J$12/4</f>
        <v>0</v>
      </c>
      <c r="AS29" s="36">
        <f>AD5*('"Fine Tune" Variables'!$C$16*12)*'"Fine Tune" Variables'!$J$12/4</f>
        <v>0</v>
      </c>
      <c r="AT29" s="36">
        <f>AE5*('"Fine Tune" Variables'!$C$16*12)*'"Fine Tune" Variables'!$J$12/4</f>
        <v>0</v>
      </c>
      <c r="AU29" s="36">
        <f>AF5*('"Fine Tune" Variables'!$C$16*12)*'"Fine Tune" Variables'!$J$12/4</f>
        <v>0</v>
      </c>
      <c r="AV29" s="36">
        <f>AG5*('"Fine Tune" Variables'!$C$16*12)*'"Fine Tune" Variables'!$J$12/4</f>
        <v>0</v>
      </c>
      <c r="AW29" s="36">
        <f>AH5*('"Fine Tune" Variables'!$C$16*12)*'"Fine Tune" Variables'!$J$12/4</f>
        <v>0</v>
      </c>
    </row>
    <row r="30" spans="1:51" s="11" customFormat="1" hidden="1" x14ac:dyDescent="0.25">
      <c r="B30" s="36"/>
      <c r="C30" s="36"/>
      <c r="D30" s="36"/>
      <c r="E30" s="36"/>
      <c r="F30" s="36"/>
      <c r="G30" s="36"/>
      <c r="H30" s="36"/>
      <c r="I30" s="36"/>
      <c r="J30" s="36"/>
      <c r="K30" s="36"/>
      <c r="L30" s="36"/>
      <c r="M30" s="36"/>
      <c r="N30" s="36"/>
      <c r="O30" s="36"/>
      <c r="P30" s="36"/>
      <c r="Q30" s="36"/>
      <c r="R30" s="36"/>
      <c r="S30" s="36"/>
      <c r="T30" s="36">
        <f>B5*('"Fine Tune" Variables'!$C$16*12)*'"Fine Tune" Variables'!$J$12/4</f>
        <v>0</v>
      </c>
      <c r="U30" s="36">
        <f>C5*('"Fine Tune" Variables'!$C$16*12)*'"Fine Tune" Variables'!$J$12/4</f>
        <v>0</v>
      </c>
      <c r="V30" s="36">
        <f>D5*('"Fine Tune" Variables'!$C$16*12)*'"Fine Tune" Variables'!$J$12/4</f>
        <v>0</v>
      </c>
      <c r="W30" s="36">
        <f>E5*('"Fine Tune" Variables'!$C$16*12)*'"Fine Tune" Variables'!$J$12/4</f>
        <v>0</v>
      </c>
      <c r="X30" s="36">
        <f>F5*('"Fine Tune" Variables'!$C$16*12)*'"Fine Tune" Variables'!$J$12/4</f>
        <v>0</v>
      </c>
      <c r="Y30" s="36">
        <f>G5*('"Fine Tune" Variables'!$C$16*12)*'"Fine Tune" Variables'!$J$12/4</f>
        <v>0</v>
      </c>
      <c r="Z30" s="36">
        <f>H5*('"Fine Tune" Variables'!$C$16*12)*'"Fine Tune" Variables'!$J$12/4</f>
        <v>0</v>
      </c>
      <c r="AA30" s="36">
        <f>I5*('"Fine Tune" Variables'!$C$16*12)*'"Fine Tune" Variables'!$J$12/4</f>
        <v>0</v>
      </c>
      <c r="AB30" s="36">
        <f>J5*('"Fine Tune" Variables'!$C$16*12)*'"Fine Tune" Variables'!$J$12/4</f>
        <v>0</v>
      </c>
      <c r="AC30" s="36">
        <f>K5*('"Fine Tune" Variables'!$C$16*12)*'"Fine Tune" Variables'!$J$12/4</f>
        <v>0</v>
      </c>
      <c r="AD30" s="36">
        <f>L5*('"Fine Tune" Variables'!$C$16*12)*'"Fine Tune" Variables'!$J$12/4</f>
        <v>0</v>
      </c>
      <c r="AE30" s="36">
        <f>M5*('"Fine Tune" Variables'!$C$16*12)*'"Fine Tune" Variables'!$J$12/4</f>
        <v>0</v>
      </c>
      <c r="AF30" s="36">
        <f>N5*('"Fine Tune" Variables'!$C$16*12)*'"Fine Tune" Variables'!$J$12/4</f>
        <v>0</v>
      </c>
      <c r="AG30" s="36">
        <f>O5*('"Fine Tune" Variables'!$C$16*12)*'"Fine Tune" Variables'!$J$12/4</f>
        <v>0</v>
      </c>
      <c r="AH30" s="36">
        <f>P5*('"Fine Tune" Variables'!$C$16*12)*'"Fine Tune" Variables'!$J$12/4</f>
        <v>0</v>
      </c>
      <c r="AI30" s="36">
        <f>Q5*('"Fine Tune" Variables'!$C$16*12)*'"Fine Tune" Variables'!$J$12/4</f>
        <v>0</v>
      </c>
      <c r="AJ30" s="36">
        <f>R5*('"Fine Tune" Variables'!$C$16*12)*'"Fine Tune" Variables'!$J$12/4</f>
        <v>0</v>
      </c>
      <c r="AK30" s="36">
        <f>S5*('"Fine Tune" Variables'!$C$16*12)*'"Fine Tune" Variables'!$J$12/4</f>
        <v>0</v>
      </c>
      <c r="AL30" s="36">
        <f>T5*('"Fine Tune" Variables'!$C$16*12)*'"Fine Tune" Variables'!$J$12/4</f>
        <v>0</v>
      </c>
      <c r="AM30" s="36">
        <f>U5*('"Fine Tune" Variables'!$C$16*12)*'"Fine Tune" Variables'!$J$12/4</f>
        <v>0</v>
      </c>
      <c r="AN30" s="36">
        <f>V5*('"Fine Tune" Variables'!$C$16*12)*'"Fine Tune" Variables'!$J$12/4</f>
        <v>0</v>
      </c>
      <c r="AO30" s="36">
        <f>W5*('"Fine Tune" Variables'!$C$16*12)*'"Fine Tune" Variables'!$J$12/4</f>
        <v>0</v>
      </c>
      <c r="AP30" s="36">
        <f>X5*('"Fine Tune" Variables'!$C$16*12)*'"Fine Tune" Variables'!$J$12/4</f>
        <v>0</v>
      </c>
      <c r="AQ30" s="36">
        <f>Y5*('"Fine Tune" Variables'!$C$16*12)*'"Fine Tune" Variables'!$J$12/4</f>
        <v>0</v>
      </c>
      <c r="AR30" s="36">
        <f>Z5*('"Fine Tune" Variables'!$C$16*12)*'"Fine Tune" Variables'!$J$12/4</f>
        <v>0</v>
      </c>
      <c r="AS30" s="36">
        <f>AA5*('"Fine Tune" Variables'!$C$16*12)*'"Fine Tune" Variables'!$J$12/4</f>
        <v>0</v>
      </c>
      <c r="AT30" s="36">
        <f>AB5*('"Fine Tune" Variables'!$C$16*12)*'"Fine Tune" Variables'!$J$12/4</f>
        <v>0</v>
      </c>
      <c r="AU30" s="36">
        <f>AC5*('"Fine Tune" Variables'!$C$16*12)*'"Fine Tune" Variables'!$J$12/4</f>
        <v>0</v>
      </c>
      <c r="AV30" s="36">
        <f>AD5*('"Fine Tune" Variables'!$C$16*12)*'"Fine Tune" Variables'!$J$12/4</f>
        <v>0</v>
      </c>
      <c r="AW30" s="36">
        <f>AE5*('"Fine Tune" Variables'!$C$16*12)*'"Fine Tune" Variables'!$J$12/4</f>
        <v>0</v>
      </c>
    </row>
    <row r="31" spans="1:51" s="11" customFormat="1" hidden="1" x14ac:dyDescent="0.25">
      <c r="B31" s="36"/>
      <c r="C31" s="36"/>
      <c r="D31" s="36"/>
      <c r="E31" s="36"/>
      <c r="F31" s="36"/>
      <c r="G31" s="36"/>
      <c r="H31" s="36"/>
      <c r="I31" s="36"/>
      <c r="J31" s="36"/>
      <c r="K31" s="36"/>
      <c r="L31" s="36"/>
      <c r="M31" s="36"/>
      <c r="N31" s="36"/>
      <c r="O31" s="36"/>
      <c r="P31" s="36"/>
      <c r="Q31" s="36"/>
      <c r="R31" s="36"/>
      <c r="S31" s="36"/>
      <c r="T31" s="36"/>
      <c r="U31" s="36"/>
      <c r="V31" s="36"/>
      <c r="W31" s="36">
        <f>B5*('"Fine Tune" Variables'!$C$16*12)*'"Fine Tune" Variables'!$J$12/4</f>
        <v>0</v>
      </c>
      <c r="X31" s="36">
        <f>C5*('"Fine Tune" Variables'!$C$16*12)*'"Fine Tune" Variables'!$J$12/4</f>
        <v>0</v>
      </c>
      <c r="Y31" s="36">
        <f>D5*('"Fine Tune" Variables'!$C$16*12)*'"Fine Tune" Variables'!$J$12/4</f>
        <v>0</v>
      </c>
      <c r="Z31" s="36">
        <f>E5*('"Fine Tune" Variables'!$C$16*12)*'"Fine Tune" Variables'!$J$12/4</f>
        <v>0</v>
      </c>
      <c r="AA31" s="36">
        <f>F5*('"Fine Tune" Variables'!$C$16*12)*'"Fine Tune" Variables'!$J$12/4</f>
        <v>0</v>
      </c>
      <c r="AB31" s="36">
        <f>G5*('"Fine Tune" Variables'!$C$16*12)*'"Fine Tune" Variables'!$J$12/4</f>
        <v>0</v>
      </c>
      <c r="AC31" s="36">
        <f>H5*('"Fine Tune" Variables'!$C$16*12)*'"Fine Tune" Variables'!$J$12/4</f>
        <v>0</v>
      </c>
      <c r="AD31" s="36">
        <f>I5*('"Fine Tune" Variables'!$C$16*12)*'"Fine Tune" Variables'!$J$12/4</f>
        <v>0</v>
      </c>
      <c r="AE31" s="36">
        <f>J5*('"Fine Tune" Variables'!$C$16*12)*'"Fine Tune" Variables'!$J$12/4</f>
        <v>0</v>
      </c>
      <c r="AF31" s="36">
        <f>K5*('"Fine Tune" Variables'!$C$16*12)*'"Fine Tune" Variables'!$J$12/4</f>
        <v>0</v>
      </c>
      <c r="AG31" s="36">
        <f>L5*('"Fine Tune" Variables'!$C$16*12)*'"Fine Tune" Variables'!$J$12/4</f>
        <v>0</v>
      </c>
      <c r="AH31" s="36">
        <f>M5*('"Fine Tune" Variables'!$C$16*12)*'"Fine Tune" Variables'!$J$12/4</f>
        <v>0</v>
      </c>
      <c r="AI31" s="36">
        <f>N5*('"Fine Tune" Variables'!$C$16*12)*'"Fine Tune" Variables'!$J$12/4</f>
        <v>0</v>
      </c>
      <c r="AJ31" s="36">
        <f>O5*('"Fine Tune" Variables'!$C$16*12)*'"Fine Tune" Variables'!$J$12/4</f>
        <v>0</v>
      </c>
      <c r="AK31" s="36">
        <f>P5*('"Fine Tune" Variables'!$C$16*12)*'"Fine Tune" Variables'!$J$12/4</f>
        <v>0</v>
      </c>
      <c r="AL31" s="36">
        <f>Q5*('"Fine Tune" Variables'!$C$16*12)*'"Fine Tune" Variables'!$J$12/4</f>
        <v>0</v>
      </c>
      <c r="AM31" s="36">
        <f>R5*('"Fine Tune" Variables'!$C$16*12)*'"Fine Tune" Variables'!$J$12/4</f>
        <v>0</v>
      </c>
      <c r="AN31" s="36">
        <f>S5*('"Fine Tune" Variables'!$C$16*12)*'"Fine Tune" Variables'!$J$12/4</f>
        <v>0</v>
      </c>
      <c r="AO31" s="36">
        <f>T5*('"Fine Tune" Variables'!$C$16*12)*'"Fine Tune" Variables'!$J$12/4</f>
        <v>0</v>
      </c>
      <c r="AP31" s="36">
        <f>U5*('"Fine Tune" Variables'!$C$16*12)*'"Fine Tune" Variables'!$J$12/4</f>
        <v>0</v>
      </c>
      <c r="AQ31" s="36">
        <f>V5*('"Fine Tune" Variables'!$C$16*12)*'"Fine Tune" Variables'!$J$12/4</f>
        <v>0</v>
      </c>
      <c r="AR31" s="36">
        <f>W5*('"Fine Tune" Variables'!$C$16*12)*'"Fine Tune" Variables'!$J$12/4</f>
        <v>0</v>
      </c>
      <c r="AS31" s="36">
        <f>X5*('"Fine Tune" Variables'!$C$16*12)*'"Fine Tune" Variables'!$J$12/4</f>
        <v>0</v>
      </c>
      <c r="AT31" s="36">
        <f>Y5*('"Fine Tune" Variables'!$C$16*12)*'"Fine Tune" Variables'!$J$12/4</f>
        <v>0</v>
      </c>
      <c r="AU31" s="36">
        <f>Z5*('"Fine Tune" Variables'!$C$16*12)*'"Fine Tune" Variables'!$J$12/4</f>
        <v>0</v>
      </c>
      <c r="AV31" s="36">
        <f>AA5*('"Fine Tune" Variables'!$C$16*12)*'"Fine Tune" Variables'!$J$12/4</f>
        <v>0</v>
      </c>
      <c r="AW31" s="36">
        <f>AB5*('"Fine Tune" Variables'!$C$16*12)*'"Fine Tune" Variables'!$J$12/4</f>
        <v>0</v>
      </c>
    </row>
    <row r="32" spans="1:51" s="11" customFormat="1" hidden="1" x14ac:dyDescent="0.25">
      <c r="B32" s="36"/>
      <c r="C32" s="36"/>
      <c r="D32" s="36"/>
      <c r="E32" s="36"/>
      <c r="F32" s="36"/>
      <c r="G32" s="36"/>
      <c r="H32" s="36"/>
      <c r="I32" s="36"/>
      <c r="J32" s="36"/>
      <c r="K32" s="36"/>
      <c r="L32" s="36"/>
      <c r="M32" s="36"/>
      <c r="N32" s="36"/>
      <c r="O32" s="36"/>
      <c r="P32" s="36"/>
      <c r="Q32" s="36"/>
      <c r="R32" s="36"/>
      <c r="S32" s="36"/>
      <c r="T32" s="36"/>
      <c r="U32" s="36"/>
      <c r="V32" s="36"/>
      <c r="W32" s="36"/>
      <c r="X32" s="36"/>
      <c r="Y32" s="36"/>
      <c r="Z32" s="36">
        <f>B5*('"Fine Tune" Variables'!$C$16*12)*'"Fine Tune" Variables'!$J$12/4</f>
        <v>0</v>
      </c>
      <c r="AA32" s="36">
        <f>C5*('"Fine Tune" Variables'!$C$16*12)*'"Fine Tune" Variables'!$J$12/4</f>
        <v>0</v>
      </c>
      <c r="AB32" s="36">
        <f>D5*('"Fine Tune" Variables'!$C$16*12)*'"Fine Tune" Variables'!$J$12/4</f>
        <v>0</v>
      </c>
      <c r="AC32" s="36">
        <f>E5*('"Fine Tune" Variables'!$C$16*12)*'"Fine Tune" Variables'!$J$12/4</f>
        <v>0</v>
      </c>
      <c r="AD32" s="36">
        <f>F5*('"Fine Tune" Variables'!$C$16*12)*'"Fine Tune" Variables'!$J$12/4</f>
        <v>0</v>
      </c>
      <c r="AE32" s="36">
        <f>G5*('"Fine Tune" Variables'!$C$16*12)*'"Fine Tune" Variables'!$J$12/4</f>
        <v>0</v>
      </c>
      <c r="AF32" s="36">
        <f>H5*('"Fine Tune" Variables'!$C$16*12)*'"Fine Tune" Variables'!$J$12/4</f>
        <v>0</v>
      </c>
      <c r="AG32" s="36">
        <f>I5*('"Fine Tune" Variables'!$C$16*12)*'"Fine Tune" Variables'!$J$12/4</f>
        <v>0</v>
      </c>
      <c r="AH32" s="36">
        <f>J5*('"Fine Tune" Variables'!$C$16*12)*'"Fine Tune" Variables'!$J$12/4</f>
        <v>0</v>
      </c>
      <c r="AI32" s="36">
        <f>K5*('"Fine Tune" Variables'!$C$16*12)*'"Fine Tune" Variables'!$J$12/4</f>
        <v>0</v>
      </c>
      <c r="AJ32" s="36">
        <f>L5*('"Fine Tune" Variables'!$C$16*12)*'"Fine Tune" Variables'!$J$12/4</f>
        <v>0</v>
      </c>
      <c r="AK32" s="36">
        <f>M5*('"Fine Tune" Variables'!$C$16*12)*'"Fine Tune" Variables'!$J$12/4</f>
        <v>0</v>
      </c>
      <c r="AL32" s="36">
        <f>N5*('"Fine Tune" Variables'!$C$16*12)*'"Fine Tune" Variables'!$J$12/4</f>
        <v>0</v>
      </c>
      <c r="AM32" s="36">
        <f>O5*('"Fine Tune" Variables'!$C$16*12)*'"Fine Tune" Variables'!$J$12/4</f>
        <v>0</v>
      </c>
      <c r="AN32" s="36">
        <f>P5*('"Fine Tune" Variables'!$C$16*12)*'"Fine Tune" Variables'!$J$12/4</f>
        <v>0</v>
      </c>
      <c r="AO32" s="36">
        <f>Q5*('"Fine Tune" Variables'!$C$16*12)*'"Fine Tune" Variables'!$J$12/4</f>
        <v>0</v>
      </c>
      <c r="AP32" s="36">
        <f>R5*('"Fine Tune" Variables'!$C$16*12)*'"Fine Tune" Variables'!$J$12/4</f>
        <v>0</v>
      </c>
      <c r="AQ32" s="36">
        <f>S5*('"Fine Tune" Variables'!$C$16*12)*'"Fine Tune" Variables'!$J$12/4</f>
        <v>0</v>
      </c>
      <c r="AR32" s="36">
        <f>T5*('"Fine Tune" Variables'!$C$16*12)*'"Fine Tune" Variables'!$J$12/4</f>
        <v>0</v>
      </c>
      <c r="AS32" s="36">
        <f>U5*('"Fine Tune" Variables'!$C$16*12)*'"Fine Tune" Variables'!$J$12/4</f>
        <v>0</v>
      </c>
      <c r="AT32" s="36">
        <f>V5*('"Fine Tune" Variables'!$C$16*12)*'"Fine Tune" Variables'!$J$12/4</f>
        <v>0</v>
      </c>
      <c r="AU32" s="36">
        <f>W5*('"Fine Tune" Variables'!$C$16*12)*'"Fine Tune" Variables'!$J$12/4</f>
        <v>0</v>
      </c>
      <c r="AV32" s="36">
        <f>X5*('"Fine Tune" Variables'!$C$16*12)*'"Fine Tune" Variables'!$J$12/4</f>
        <v>0</v>
      </c>
      <c r="AW32" s="36">
        <f>Y5*('"Fine Tune" Variables'!$C$16*12)*'"Fine Tune" Variables'!$J$12/4</f>
        <v>0</v>
      </c>
    </row>
    <row r="33" spans="1:51" s="11" customFormat="1" hidden="1" x14ac:dyDescent="0.2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f>B5*('"Fine Tune" Variables'!$C$16*12)*'"Fine Tune" Variables'!$J$12/4</f>
        <v>0</v>
      </c>
      <c r="AD33" s="36">
        <f>C5*('"Fine Tune" Variables'!$C$16*12)*'"Fine Tune" Variables'!$J$12/4</f>
        <v>0</v>
      </c>
      <c r="AE33" s="36">
        <f>D5*('"Fine Tune" Variables'!$C$16*12)*'"Fine Tune" Variables'!$J$12/4</f>
        <v>0</v>
      </c>
      <c r="AF33" s="36">
        <f>E5*('"Fine Tune" Variables'!$C$16*12)*'"Fine Tune" Variables'!$J$12/4</f>
        <v>0</v>
      </c>
      <c r="AG33" s="36">
        <f>F5*('"Fine Tune" Variables'!$C$16*12)*'"Fine Tune" Variables'!$J$12/4</f>
        <v>0</v>
      </c>
      <c r="AH33" s="36">
        <f>G5*('"Fine Tune" Variables'!$C$16*12)*'"Fine Tune" Variables'!$J$12/4</f>
        <v>0</v>
      </c>
      <c r="AI33" s="36">
        <f>H5*('"Fine Tune" Variables'!$C$16*12)*'"Fine Tune" Variables'!$J$12/4</f>
        <v>0</v>
      </c>
      <c r="AJ33" s="36">
        <f>I5*('"Fine Tune" Variables'!$C$16*12)*'"Fine Tune" Variables'!$J$12/4</f>
        <v>0</v>
      </c>
      <c r="AK33" s="36">
        <f>J5*('"Fine Tune" Variables'!$C$16*12)*'"Fine Tune" Variables'!$J$12/4</f>
        <v>0</v>
      </c>
      <c r="AL33" s="36">
        <f>K5*('"Fine Tune" Variables'!$C$16*12)*'"Fine Tune" Variables'!$J$12/4</f>
        <v>0</v>
      </c>
      <c r="AM33" s="36">
        <f>L5*('"Fine Tune" Variables'!$C$16*12)*'"Fine Tune" Variables'!$J$12/4</f>
        <v>0</v>
      </c>
      <c r="AN33" s="36">
        <f>M5*('"Fine Tune" Variables'!$C$16*12)*'"Fine Tune" Variables'!$J$12/4</f>
        <v>0</v>
      </c>
      <c r="AO33" s="36">
        <f>N5*('"Fine Tune" Variables'!$C$16*12)*'"Fine Tune" Variables'!$J$12/4</f>
        <v>0</v>
      </c>
      <c r="AP33" s="36">
        <f>O5*('"Fine Tune" Variables'!$C$16*12)*'"Fine Tune" Variables'!$J$12/4</f>
        <v>0</v>
      </c>
      <c r="AQ33" s="36">
        <f>P5*('"Fine Tune" Variables'!$C$16*12)*'"Fine Tune" Variables'!$J$12/4</f>
        <v>0</v>
      </c>
      <c r="AR33" s="36">
        <f>Q5*('"Fine Tune" Variables'!$C$16*12)*'"Fine Tune" Variables'!$J$12/4</f>
        <v>0</v>
      </c>
      <c r="AS33" s="36">
        <f>R5*('"Fine Tune" Variables'!$C$16*12)*'"Fine Tune" Variables'!$J$12/4</f>
        <v>0</v>
      </c>
      <c r="AT33" s="36">
        <f>S5*('"Fine Tune" Variables'!$C$16*12)*'"Fine Tune" Variables'!$J$12/4</f>
        <v>0</v>
      </c>
      <c r="AU33" s="36">
        <f>T5*('"Fine Tune" Variables'!$C$16*12)*'"Fine Tune" Variables'!$J$12/4</f>
        <v>0</v>
      </c>
      <c r="AV33" s="36">
        <f>U5*('"Fine Tune" Variables'!$C$16*12)*'"Fine Tune" Variables'!$J$12/4</f>
        <v>0</v>
      </c>
      <c r="AW33" s="36">
        <f>V5*('"Fine Tune" Variables'!$C$16*12)*'"Fine Tune" Variables'!$J$12/4</f>
        <v>0</v>
      </c>
    </row>
    <row r="34" spans="1:51" s="11" customFormat="1" hidden="1" x14ac:dyDescent="0.2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f>B5*('"Fine Tune" Variables'!$C$16*12)*'"Fine Tune" Variables'!$J$12/4</f>
        <v>0</v>
      </c>
      <c r="AG34" s="36">
        <f>C5*('"Fine Tune" Variables'!$C$16*12)*'"Fine Tune" Variables'!$J$12/4</f>
        <v>0</v>
      </c>
      <c r="AH34" s="36">
        <f>D5*('"Fine Tune" Variables'!$C$16*12)*'"Fine Tune" Variables'!$J$12/4</f>
        <v>0</v>
      </c>
      <c r="AI34" s="36">
        <f>E5*('"Fine Tune" Variables'!$C$16*12)*'"Fine Tune" Variables'!$J$12/4</f>
        <v>0</v>
      </c>
      <c r="AJ34" s="36">
        <f>F5*('"Fine Tune" Variables'!$C$16*12)*'"Fine Tune" Variables'!$J$12/4</f>
        <v>0</v>
      </c>
      <c r="AK34" s="36">
        <f>G5*('"Fine Tune" Variables'!$C$16*12)*'"Fine Tune" Variables'!$J$12/4</f>
        <v>0</v>
      </c>
      <c r="AL34" s="36">
        <f>H5*('"Fine Tune" Variables'!$C$16*12)*'"Fine Tune" Variables'!$J$12/4</f>
        <v>0</v>
      </c>
      <c r="AM34" s="36">
        <f>I5*('"Fine Tune" Variables'!$C$16*12)*'"Fine Tune" Variables'!$J$12/4</f>
        <v>0</v>
      </c>
      <c r="AN34" s="36">
        <f>J5*('"Fine Tune" Variables'!$C$16*12)*'"Fine Tune" Variables'!$J$12/4</f>
        <v>0</v>
      </c>
      <c r="AO34" s="36">
        <f>K5*('"Fine Tune" Variables'!$C$16*12)*'"Fine Tune" Variables'!$J$12/4</f>
        <v>0</v>
      </c>
      <c r="AP34" s="36">
        <f>L5*('"Fine Tune" Variables'!$C$16*12)*'"Fine Tune" Variables'!$J$12/4</f>
        <v>0</v>
      </c>
      <c r="AQ34" s="36">
        <f>M5*('"Fine Tune" Variables'!$C$16*12)*'"Fine Tune" Variables'!$J$12/4</f>
        <v>0</v>
      </c>
      <c r="AR34" s="36">
        <f>N5*('"Fine Tune" Variables'!$C$16*12)*'"Fine Tune" Variables'!$J$12/4</f>
        <v>0</v>
      </c>
      <c r="AS34" s="36">
        <f>O5*('"Fine Tune" Variables'!$C$16*12)*'"Fine Tune" Variables'!$J$12/4</f>
        <v>0</v>
      </c>
      <c r="AT34" s="36">
        <f>P5*('"Fine Tune" Variables'!$C$16*12)*'"Fine Tune" Variables'!$J$12/4</f>
        <v>0</v>
      </c>
      <c r="AU34" s="36">
        <f>Q5*('"Fine Tune" Variables'!$C$16*12)*'"Fine Tune" Variables'!$J$12/4</f>
        <v>0</v>
      </c>
      <c r="AV34" s="36">
        <f>R5*('"Fine Tune" Variables'!$C$16*12)*'"Fine Tune" Variables'!$J$12/4</f>
        <v>0</v>
      </c>
      <c r="AW34" s="36">
        <f>S5*('"Fine Tune" Variables'!$C$16*12)*'"Fine Tune" Variables'!$J$12/4</f>
        <v>0</v>
      </c>
    </row>
    <row r="35" spans="1:51" s="11" customFormat="1" hidden="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f>B5*('"Fine Tune" Variables'!$C$16*12)*'"Fine Tune" Variables'!$J$12/4</f>
        <v>0</v>
      </c>
      <c r="AJ35" s="36">
        <f>C5*('"Fine Tune" Variables'!$C$16*12)*'"Fine Tune" Variables'!$J$12/4</f>
        <v>0</v>
      </c>
      <c r="AK35" s="36">
        <f>D5*('"Fine Tune" Variables'!$C$16*12)*'"Fine Tune" Variables'!$J$12/4</f>
        <v>0</v>
      </c>
      <c r="AL35" s="36">
        <f>E5*('"Fine Tune" Variables'!$C$16*12)*'"Fine Tune" Variables'!$J$12/4</f>
        <v>0</v>
      </c>
      <c r="AM35" s="36">
        <f>F5*('"Fine Tune" Variables'!$C$16*12)*'"Fine Tune" Variables'!$J$12/4</f>
        <v>0</v>
      </c>
      <c r="AN35" s="36">
        <f>G5*('"Fine Tune" Variables'!$C$16*12)*'"Fine Tune" Variables'!$J$12/4</f>
        <v>0</v>
      </c>
      <c r="AO35" s="36">
        <f>H5*('"Fine Tune" Variables'!$C$16*12)*'"Fine Tune" Variables'!$J$12/4</f>
        <v>0</v>
      </c>
      <c r="AP35" s="36">
        <f>I5*('"Fine Tune" Variables'!$C$16*12)*'"Fine Tune" Variables'!$J$12/4</f>
        <v>0</v>
      </c>
      <c r="AQ35" s="36">
        <f>J5*('"Fine Tune" Variables'!$C$16*12)*'"Fine Tune" Variables'!$J$12/4</f>
        <v>0</v>
      </c>
      <c r="AR35" s="36">
        <f>K5*('"Fine Tune" Variables'!$C$16*12)*'"Fine Tune" Variables'!$J$12/4</f>
        <v>0</v>
      </c>
      <c r="AS35" s="36">
        <f>L5*('"Fine Tune" Variables'!$C$16*12)*'"Fine Tune" Variables'!$J$12/4</f>
        <v>0</v>
      </c>
      <c r="AT35" s="36">
        <f>M5*('"Fine Tune" Variables'!$C$16*12)*'"Fine Tune" Variables'!$J$12/4</f>
        <v>0</v>
      </c>
      <c r="AU35" s="36">
        <f>N5*('"Fine Tune" Variables'!$C$16*12)*'"Fine Tune" Variables'!$J$12/4</f>
        <v>0</v>
      </c>
      <c r="AV35" s="36">
        <f>O5*('"Fine Tune" Variables'!$C$16*12)*'"Fine Tune" Variables'!$J$12/4</f>
        <v>0</v>
      </c>
      <c r="AW35" s="36">
        <f>P5*('"Fine Tune" Variables'!$C$16*12)*'"Fine Tune" Variables'!$J$12/4</f>
        <v>0</v>
      </c>
    </row>
    <row r="36" spans="1:51" s="11" customFormat="1" hidden="1" x14ac:dyDescent="0.2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f>B5*('"Fine Tune" Variables'!$C$16*12)*'"Fine Tune" Variables'!$J$12/4</f>
        <v>0</v>
      </c>
      <c r="AM36" s="36">
        <f>C5*('"Fine Tune" Variables'!$C$16*12)*'"Fine Tune" Variables'!$J$12/4</f>
        <v>0</v>
      </c>
      <c r="AN36" s="36">
        <f>D5*('"Fine Tune" Variables'!$C$16*12)*'"Fine Tune" Variables'!$J$12/4</f>
        <v>0</v>
      </c>
      <c r="AO36" s="36">
        <f>E5*('"Fine Tune" Variables'!$C$16*12)*'"Fine Tune" Variables'!$J$12/4</f>
        <v>0</v>
      </c>
      <c r="AP36" s="36">
        <f>F5*('"Fine Tune" Variables'!$C$16*12)*'"Fine Tune" Variables'!$J$12/4</f>
        <v>0</v>
      </c>
      <c r="AQ36" s="36">
        <f>G5*('"Fine Tune" Variables'!$C$16*12)*'"Fine Tune" Variables'!$J$12/4</f>
        <v>0</v>
      </c>
      <c r="AR36" s="36">
        <f>H5*('"Fine Tune" Variables'!$C$16*12)*'"Fine Tune" Variables'!$J$12/4</f>
        <v>0</v>
      </c>
      <c r="AS36" s="36">
        <f>I5*('"Fine Tune" Variables'!$C$16*12)*'"Fine Tune" Variables'!$J$12/4</f>
        <v>0</v>
      </c>
      <c r="AT36" s="36">
        <f>J5*('"Fine Tune" Variables'!$C$16*12)*'"Fine Tune" Variables'!$J$12/4</f>
        <v>0</v>
      </c>
      <c r="AU36" s="36">
        <f>K5*('"Fine Tune" Variables'!$C$16*12)*'"Fine Tune" Variables'!$J$12/4</f>
        <v>0</v>
      </c>
      <c r="AV36" s="36">
        <f>L5*('"Fine Tune" Variables'!$C$16*12)*'"Fine Tune" Variables'!$J$12/4</f>
        <v>0</v>
      </c>
      <c r="AW36" s="36">
        <f>M5*('"Fine Tune" Variables'!$C$16*12)*'"Fine Tune" Variables'!$J$12/4</f>
        <v>0</v>
      </c>
    </row>
    <row r="37" spans="1:51" s="11" customFormat="1" hidden="1" x14ac:dyDescent="0.2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f>B5*('"Fine Tune" Variables'!$C$16*12)*'"Fine Tune" Variables'!$J$12/4</f>
        <v>0</v>
      </c>
      <c r="AP37" s="36">
        <f>C5*('"Fine Tune" Variables'!$C$16*12)*'"Fine Tune" Variables'!$J$12/4</f>
        <v>0</v>
      </c>
      <c r="AQ37" s="36">
        <f>D5*('"Fine Tune" Variables'!$C$16*12)*'"Fine Tune" Variables'!$J$12/4</f>
        <v>0</v>
      </c>
      <c r="AR37" s="36">
        <f>E5*('"Fine Tune" Variables'!$C$16*12)*'"Fine Tune" Variables'!$J$12/4</f>
        <v>0</v>
      </c>
      <c r="AS37" s="36">
        <f>F5*('"Fine Tune" Variables'!$C$16*12)*'"Fine Tune" Variables'!$J$12/4</f>
        <v>0</v>
      </c>
      <c r="AT37" s="36">
        <f>G5*('"Fine Tune" Variables'!$C$16*12)*'"Fine Tune" Variables'!$J$12/4</f>
        <v>0</v>
      </c>
      <c r="AU37" s="36">
        <f>H5*('"Fine Tune" Variables'!$C$16*12)*'"Fine Tune" Variables'!$J$12/4</f>
        <v>0</v>
      </c>
      <c r="AV37" s="36">
        <f>I5*('"Fine Tune" Variables'!$C$16*12)*'"Fine Tune" Variables'!$J$12/4</f>
        <v>0</v>
      </c>
      <c r="AW37" s="36">
        <f>J5*('"Fine Tune" Variables'!$C$16*12)*'"Fine Tune" Variables'!$J$12/4</f>
        <v>0</v>
      </c>
    </row>
    <row r="38" spans="1:51" s="11" customFormat="1" hidden="1" x14ac:dyDescent="0.2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f>B5*('"Fine Tune" Variables'!$C$16*12)*'"Fine Tune" Variables'!$J$12/4</f>
        <v>0</v>
      </c>
      <c r="AS38" s="36">
        <f>C5*('"Fine Tune" Variables'!$C$16*12)*'"Fine Tune" Variables'!$J$12/4</f>
        <v>0</v>
      </c>
      <c r="AT38" s="36">
        <f>D5*('"Fine Tune" Variables'!$C$16*12)*'"Fine Tune" Variables'!$J$12/4</f>
        <v>0</v>
      </c>
      <c r="AU38" s="36">
        <f>E5*('"Fine Tune" Variables'!$C$16*12)*'"Fine Tune" Variables'!$J$12/4</f>
        <v>0</v>
      </c>
      <c r="AV38" s="36">
        <f>F5*('"Fine Tune" Variables'!$C$16*12)*'"Fine Tune" Variables'!$J$12/4</f>
        <v>0</v>
      </c>
      <c r="AW38" s="36">
        <f>G5*('"Fine Tune" Variables'!$C$16*12)*'"Fine Tune" Variables'!$J$12/4</f>
        <v>0</v>
      </c>
    </row>
    <row r="39" spans="1:51" s="11" customFormat="1" hidden="1" x14ac:dyDescent="0.2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f>B5*('"Fine Tune" Variables'!$C$16*12)*'"Fine Tune" Variables'!$J$12/4</f>
        <v>0</v>
      </c>
      <c r="AV39" s="37">
        <f>C5*('"Fine Tune" Variables'!$C$16*12)*'"Fine Tune" Variables'!$J$12/4</f>
        <v>0</v>
      </c>
      <c r="AW39" s="37">
        <f>D5*('"Fine Tune" Variables'!$C$16*12)*'"Fine Tune" Variables'!$J$12/4</f>
        <v>0</v>
      </c>
    </row>
    <row r="40" spans="1:51" hidden="1" x14ac:dyDescent="0.25">
      <c r="B40" s="1">
        <f t="shared" ref="B40:AW40" si="3">SUM(B24:B39)</f>
        <v>0</v>
      </c>
      <c r="C40" s="1">
        <f t="shared" si="3"/>
        <v>0</v>
      </c>
      <c r="D40" s="1">
        <f t="shared" si="3"/>
        <v>0</v>
      </c>
      <c r="E40" s="1">
        <f t="shared" si="3"/>
        <v>0</v>
      </c>
      <c r="F40" s="1">
        <f t="shared" si="3"/>
        <v>0</v>
      </c>
      <c r="G40" s="1">
        <f t="shared" si="3"/>
        <v>0</v>
      </c>
      <c r="H40" s="1">
        <f t="shared" si="3"/>
        <v>0</v>
      </c>
      <c r="I40" s="1">
        <f t="shared" si="3"/>
        <v>0</v>
      </c>
      <c r="J40" s="1">
        <f t="shared" si="3"/>
        <v>0</v>
      </c>
      <c r="K40" s="1">
        <f t="shared" si="3"/>
        <v>0</v>
      </c>
      <c r="L40" s="1">
        <f t="shared" si="3"/>
        <v>0</v>
      </c>
      <c r="M40" s="1">
        <f t="shared" si="3"/>
        <v>0</v>
      </c>
      <c r="N40" s="1">
        <f t="shared" si="3"/>
        <v>0</v>
      </c>
      <c r="O40" s="1">
        <f t="shared" si="3"/>
        <v>0</v>
      </c>
      <c r="P40" s="1">
        <f t="shared" si="3"/>
        <v>0</v>
      </c>
      <c r="Q40" s="1">
        <f t="shared" si="3"/>
        <v>0</v>
      </c>
      <c r="R40" s="1">
        <f t="shared" si="3"/>
        <v>0</v>
      </c>
      <c r="S40" s="1">
        <f t="shared" si="3"/>
        <v>0</v>
      </c>
      <c r="T40" s="1">
        <f t="shared" si="3"/>
        <v>0</v>
      </c>
      <c r="U40" s="1">
        <f t="shared" si="3"/>
        <v>0</v>
      </c>
      <c r="V40" s="1">
        <f t="shared" si="3"/>
        <v>0</v>
      </c>
      <c r="W40" s="1">
        <f t="shared" si="3"/>
        <v>0</v>
      </c>
      <c r="X40" s="1">
        <f t="shared" si="3"/>
        <v>0</v>
      </c>
      <c r="Y40" s="1">
        <f t="shared" si="3"/>
        <v>0</v>
      </c>
      <c r="Z40" s="1">
        <f t="shared" si="3"/>
        <v>0</v>
      </c>
      <c r="AA40" s="1">
        <f t="shared" si="3"/>
        <v>0</v>
      </c>
      <c r="AB40" s="1">
        <f t="shared" si="3"/>
        <v>0</v>
      </c>
      <c r="AC40" s="1">
        <f t="shared" si="3"/>
        <v>0</v>
      </c>
      <c r="AD40" s="1">
        <f t="shared" si="3"/>
        <v>0</v>
      </c>
      <c r="AE40" s="1">
        <f t="shared" si="3"/>
        <v>0</v>
      </c>
      <c r="AF40" s="1">
        <f t="shared" si="3"/>
        <v>0</v>
      </c>
      <c r="AG40" s="1">
        <f t="shared" si="3"/>
        <v>0</v>
      </c>
      <c r="AH40" s="1">
        <f t="shared" si="3"/>
        <v>0</v>
      </c>
      <c r="AI40" s="1">
        <f t="shared" si="3"/>
        <v>0</v>
      </c>
      <c r="AJ40" s="1">
        <f t="shared" si="3"/>
        <v>0</v>
      </c>
      <c r="AK40" s="1">
        <f t="shared" si="3"/>
        <v>0</v>
      </c>
      <c r="AL40" s="1">
        <f t="shared" si="3"/>
        <v>0</v>
      </c>
      <c r="AM40" s="1">
        <f t="shared" si="3"/>
        <v>0</v>
      </c>
      <c r="AN40" s="1">
        <f t="shared" si="3"/>
        <v>0</v>
      </c>
      <c r="AO40" s="1">
        <f t="shared" si="3"/>
        <v>0</v>
      </c>
      <c r="AP40" s="1">
        <f t="shared" si="3"/>
        <v>0</v>
      </c>
      <c r="AQ40" s="1">
        <f t="shared" si="3"/>
        <v>0</v>
      </c>
      <c r="AR40" s="1">
        <f t="shared" si="3"/>
        <v>0</v>
      </c>
      <c r="AS40" s="1">
        <f t="shared" si="3"/>
        <v>0</v>
      </c>
      <c r="AT40" s="1">
        <f t="shared" si="3"/>
        <v>0</v>
      </c>
      <c r="AU40" s="1">
        <f t="shared" si="3"/>
        <v>0</v>
      </c>
      <c r="AV40" s="1">
        <f t="shared" si="3"/>
        <v>0</v>
      </c>
      <c r="AW40" s="1">
        <f t="shared" si="3"/>
        <v>0</v>
      </c>
      <c r="AY40" s="1"/>
    </row>
    <row r="41" spans="1:51" hidden="1" x14ac:dyDescent="0.25"/>
    <row r="42" spans="1:51" hidden="1" x14ac:dyDescent="0.25">
      <c r="A42" s="9" t="s">
        <v>17</v>
      </c>
      <c r="B42" s="10">
        <v>1</v>
      </c>
      <c r="C42" s="10">
        <v>2</v>
      </c>
      <c r="D42" s="10">
        <v>3</v>
      </c>
      <c r="E42" s="10">
        <v>4</v>
      </c>
      <c r="AY42" s="1"/>
    </row>
    <row r="43" spans="1:51" hidden="1" x14ac:dyDescent="0.25"/>
    <row r="44" spans="1:51" hidden="1" x14ac:dyDescent="0.25">
      <c r="A44" s="13" t="s">
        <v>35</v>
      </c>
      <c r="B44" s="1">
        <f>SUM(B22:M22)</f>
        <v>0</v>
      </c>
      <c r="C44" s="1">
        <f>SUM(N22:Y22)</f>
        <v>0</v>
      </c>
      <c r="D44" s="1">
        <f>SUM(Z22:AK22)</f>
        <v>0</v>
      </c>
      <c r="E44" s="1">
        <f>SUM(AL22:AW22)</f>
        <v>0</v>
      </c>
      <c r="G44" s="39"/>
    </row>
    <row r="45" spans="1:51" hidden="1" x14ac:dyDescent="0.25">
      <c r="A45" s="13" t="s">
        <v>36</v>
      </c>
      <c r="B45" s="1">
        <f>SUM(B40:M40)</f>
        <v>0</v>
      </c>
      <c r="C45" s="1">
        <f>SUM(N40:Y40)</f>
        <v>0</v>
      </c>
      <c r="D45" s="1">
        <f>SUM(Z40:AK40)</f>
        <v>0</v>
      </c>
      <c r="E45" s="1">
        <f>SUM(AL40:AW40)</f>
        <v>0</v>
      </c>
      <c r="G45" s="1"/>
    </row>
    <row r="46" spans="1:51" hidden="1" x14ac:dyDescent="0.25"/>
    <row r="47" spans="1:51" hidden="1" x14ac:dyDescent="0.25"/>
    <row r="48" spans="1:51" hidden="1" x14ac:dyDescent="0.25">
      <c r="A48" s="34" t="s">
        <v>18</v>
      </c>
      <c r="B48" s="4">
        <v>1</v>
      </c>
      <c r="C48" s="4">
        <v>2</v>
      </c>
      <c r="D48" s="4">
        <v>3</v>
      </c>
      <c r="E48" s="4">
        <v>4</v>
      </c>
      <c r="F48" s="4">
        <v>5</v>
      </c>
      <c r="G48" s="4">
        <v>6</v>
      </c>
      <c r="H48" s="4">
        <v>7</v>
      </c>
      <c r="I48" s="4">
        <v>8</v>
      </c>
      <c r="J48" s="4">
        <v>9</v>
      </c>
      <c r="K48" s="4">
        <v>10</v>
      </c>
      <c r="L48" s="4">
        <v>11</v>
      </c>
      <c r="M48" s="4">
        <v>12</v>
      </c>
      <c r="N48" s="4">
        <v>13</v>
      </c>
      <c r="O48" s="4">
        <v>14</v>
      </c>
      <c r="P48" s="4">
        <v>15</v>
      </c>
      <c r="Q48" s="4">
        <v>16</v>
      </c>
      <c r="R48" s="4">
        <v>17</v>
      </c>
      <c r="S48" s="4">
        <v>18</v>
      </c>
      <c r="T48" s="4">
        <v>19</v>
      </c>
      <c r="U48" s="4">
        <v>20</v>
      </c>
      <c r="V48" s="4">
        <v>21</v>
      </c>
      <c r="W48" s="4">
        <v>22</v>
      </c>
      <c r="X48" s="4">
        <v>23</v>
      </c>
      <c r="Y48" s="4">
        <v>24</v>
      </c>
      <c r="Z48" s="4">
        <v>25</v>
      </c>
      <c r="AA48" s="4">
        <v>26</v>
      </c>
      <c r="AB48" s="4">
        <v>27</v>
      </c>
      <c r="AC48" s="4">
        <v>28</v>
      </c>
      <c r="AD48" s="4">
        <v>29</v>
      </c>
      <c r="AE48" s="4">
        <v>30</v>
      </c>
      <c r="AF48" s="4">
        <v>31</v>
      </c>
      <c r="AG48" s="4">
        <v>32</v>
      </c>
      <c r="AH48" s="4">
        <v>33</v>
      </c>
      <c r="AI48" s="4">
        <v>34</v>
      </c>
      <c r="AJ48" s="4">
        <v>35</v>
      </c>
      <c r="AK48" s="4">
        <v>36</v>
      </c>
      <c r="AL48" s="4">
        <v>37</v>
      </c>
      <c r="AM48" s="4">
        <v>38</v>
      </c>
      <c r="AN48" s="4">
        <v>39</v>
      </c>
      <c r="AO48" s="4">
        <v>40</v>
      </c>
      <c r="AP48" s="4">
        <v>41</v>
      </c>
      <c r="AQ48" s="4">
        <v>42</v>
      </c>
      <c r="AR48" s="4">
        <v>43</v>
      </c>
      <c r="AS48" s="4">
        <v>44</v>
      </c>
      <c r="AT48" s="4">
        <v>45</v>
      </c>
      <c r="AU48" s="4">
        <v>46</v>
      </c>
      <c r="AV48" s="4">
        <v>47</v>
      </c>
      <c r="AW48" s="4">
        <v>48</v>
      </c>
    </row>
    <row r="49" spans="1:49" hidden="1" x14ac:dyDescent="0.25">
      <c r="A49" s="33" t="s">
        <v>38</v>
      </c>
    </row>
    <row r="50" spans="1:49" hidden="1" x14ac:dyDescent="0.25"/>
    <row r="51" spans="1:49" hidden="1" x14ac:dyDescent="0.25">
      <c r="A51" s="32" t="s">
        <v>37</v>
      </c>
      <c r="B51" s="2">
        <f t="shared" ref="B51:AW51" si="4">B22+B40</f>
        <v>0</v>
      </c>
      <c r="C51" s="2">
        <f t="shared" si="4"/>
        <v>0</v>
      </c>
      <c r="D51" s="2">
        <f t="shared" si="4"/>
        <v>0</v>
      </c>
      <c r="E51" s="2">
        <f t="shared" si="4"/>
        <v>0</v>
      </c>
      <c r="F51" s="2">
        <f t="shared" si="4"/>
        <v>0</v>
      </c>
      <c r="G51" s="2">
        <f t="shared" si="4"/>
        <v>0</v>
      </c>
      <c r="H51" s="2">
        <f t="shared" si="4"/>
        <v>0</v>
      </c>
      <c r="I51" s="2">
        <f t="shared" si="4"/>
        <v>0</v>
      </c>
      <c r="J51" s="2">
        <f t="shared" si="4"/>
        <v>0</v>
      </c>
      <c r="K51" s="2">
        <f t="shared" si="4"/>
        <v>0</v>
      </c>
      <c r="L51" s="2">
        <f t="shared" si="4"/>
        <v>0</v>
      </c>
      <c r="M51" s="2">
        <f t="shared" si="4"/>
        <v>0</v>
      </c>
      <c r="N51" s="2">
        <f t="shared" si="4"/>
        <v>0</v>
      </c>
      <c r="O51" s="2">
        <f t="shared" si="4"/>
        <v>0</v>
      </c>
      <c r="P51" s="2">
        <f t="shared" si="4"/>
        <v>0</v>
      </c>
      <c r="Q51" s="2">
        <f t="shared" si="4"/>
        <v>0</v>
      </c>
      <c r="R51" s="2">
        <f t="shared" si="4"/>
        <v>0</v>
      </c>
      <c r="S51" s="2">
        <f t="shared" si="4"/>
        <v>0</v>
      </c>
      <c r="T51" s="2">
        <f t="shared" si="4"/>
        <v>0</v>
      </c>
      <c r="U51" s="2">
        <f t="shared" si="4"/>
        <v>0</v>
      </c>
      <c r="V51" s="2">
        <f t="shared" si="4"/>
        <v>0</v>
      </c>
      <c r="W51" s="2">
        <f t="shared" si="4"/>
        <v>0</v>
      </c>
      <c r="X51" s="2">
        <f t="shared" si="4"/>
        <v>0</v>
      </c>
      <c r="Y51" s="2">
        <f t="shared" si="4"/>
        <v>0</v>
      </c>
      <c r="Z51" s="2">
        <f t="shared" si="4"/>
        <v>0</v>
      </c>
      <c r="AA51" s="2">
        <f t="shared" si="4"/>
        <v>0</v>
      </c>
      <c r="AB51" s="2">
        <f t="shared" si="4"/>
        <v>0</v>
      </c>
      <c r="AC51" s="2">
        <f t="shared" si="4"/>
        <v>0</v>
      </c>
      <c r="AD51" s="2">
        <f t="shared" si="4"/>
        <v>0</v>
      </c>
      <c r="AE51" s="2">
        <f t="shared" si="4"/>
        <v>0</v>
      </c>
      <c r="AF51" s="2">
        <f t="shared" si="4"/>
        <v>0</v>
      </c>
      <c r="AG51" s="2">
        <f t="shared" si="4"/>
        <v>0</v>
      </c>
      <c r="AH51" s="2">
        <f t="shared" si="4"/>
        <v>0</v>
      </c>
      <c r="AI51" s="2">
        <f t="shared" si="4"/>
        <v>0</v>
      </c>
      <c r="AJ51" s="2">
        <f t="shared" si="4"/>
        <v>0</v>
      </c>
      <c r="AK51" s="2">
        <f t="shared" si="4"/>
        <v>0</v>
      </c>
      <c r="AL51" s="2">
        <f t="shared" si="4"/>
        <v>0</v>
      </c>
      <c r="AM51" s="2">
        <f t="shared" si="4"/>
        <v>0</v>
      </c>
      <c r="AN51" s="2">
        <f t="shared" si="4"/>
        <v>0</v>
      </c>
      <c r="AO51" s="2">
        <f t="shared" si="4"/>
        <v>0</v>
      </c>
      <c r="AP51" s="2">
        <f t="shared" si="4"/>
        <v>0</v>
      </c>
      <c r="AQ51" s="2">
        <f t="shared" si="4"/>
        <v>0</v>
      </c>
      <c r="AR51" s="2">
        <f t="shared" si="4"/>
        <v>0</v>
      </c>
      <c r="AS51" s="2">
        <f t="shared" si="4"/>
        <v>0</v>
      </c>
      <c r="AT51" s="2">
        <f t="shared" si="4"/>
        <v>0</v>
      </c>
      <c r="AU51" s="2">
        <f t="shared" si="4"/>
        <v>0</v>
      </c>
      <c r="AV51" s="2">
        <f t="shared" si="4"/>
        <v>0</v>
      </c>
      <c r="AW51" s="2">
        <f t="shared" si="4"/>
        <v>0</v>
      </c>
    </row>
    <row r="52" spans="1:49" hidden="1" x14ac:dyDescent="0.25">
      <c r="A52" s="35" t="s">
        <v>33</v>
      </c>
      <c r="B52" s="1">
        <f t="shared" ref="B52:AW52" si="5">SUM(B51:B51)</f>
        <v>0</v>
      </c>
      <c r="C52" s="1">
        <f t="shared" si="5"/>
        <v>0</v>
      </c>
      <c r="D52" s="1">
        <f t="shared" si="5"/>
        <v>0</v>
      </c>
      <c r="E52" s="1">
        <f t="shared" si="5"/>
        <v>0</v>
      </c>
      <c r="F52" s="1">
        <f t="shared" si="5"/>
        <v>0</v>
      </c>
      <c r="G52" s="1">
        <f t="shared" si="5"/>
        <v>0</v>
      </c>
      <c r="H52" s="1">
        <f t="shared" si="5"/>
        <v>0</v>
      </c>
      <c r="I52" s="1">
        <f t="shared" si="5"/>
        <v>0</v>
      </c>
      <c r="J52" s="1">
        <f t="shared" si="5"/>
        <v>0</v>
      </c>
      <c r="K52" s="1">
        <f t="shared" si="5"/>
        <v>0</v>
      </c>
      <c r="L52" s="1">
        <f t="shared" si="5"/>
        <v>0</v>
      </c>
      <c r="M52" s="1">
        <f t="shared" si="5"/>
        <v>0</v>
      </c>
      <c r="N52" s="1">
        <f t="shared" si="5"/>
        <v>0</v>
      </c>
      <c r="O52" s="1">
        <f t="shared" si="5"/>
        <v>0</v>
      </c>
      <c r="P52" s="1">
        <f t="shared" si="5"/>
        <v>0</v>
      </c>
      <c r="Q52" s="1">
        <f t="shared" si="5"/>
        <v>0</v>
      </c>
      <c r="R52" s="1">
        <f t="shared" si="5"/>
        <v>0</v>
      </c>
      <c r="S52" s="1">
        <f t="shared" si="5"/>
        <v>0</v>
      </c>
      <c r="T52" s="1">
        <f t="shared" si="5"/>
        <v>0</v>
      </c>
      <c r="U52" s="1">
        <f t="shared" si="5"/>
        <v>0</v>
      </c>
      <c r="V52" s="1">
        <f t="shared" si="5"/>
        <v>0</v>
      </c>
      <c r="W52" s="1">
        <f t="shared" si="5"/>
        <v>0</v>
      </c>
      <c r="X52" s="1">
        <f t="shared" si="5"/>
        <v>0</v>
      </c>
      <c r="Y52" s="1">
        <f t="shared" si="5"/>
        <v>0</v>
      </c>
      <c r="Z52" s="1">
        <f t="shared" si="5"/>
        <v>0</v>
      </c>
      <c r="AA52" s="1">
        <f t="shared" si="5"/>
        <v>0</v>
      </c>
      <c r="AB52" s="1">
        <f t="shared" si="5"/>
        <v>0</v>
      </c>
      <c r="AC52" s="1">
        <f t="shared" si="5"/>
        <v>0</v>
      </c>
      <c r="AD52" s="1">
        <f t="shared" si="5"/>
        <v>0</v>
      </c>
      <c r="AE52" s="1">
        <f t="shared" si="5"/>
        <v>0</v>
      </c>
      <c r="AF52" s="1">
        <f t="shared" si="5"/>
        <v>0</v>
      </c>
      <c r="AG52" s="1">
        <f t="shared" si="5"/>
        <v>0</v>
      </c>
      <c r="AH52" s="1">
        <f t="shared" si="5"/>
        <v>0</v>
      </c>
      <c r="AI52" s="1">
        <f t="shared" si="5"/>
        <v>0</v>
      </c>
      <c r="AJ52" s="1">
        <f t="shared" si="5"/>
        <v>0</v>
      </c>
      <c r="AK52" s="1">
        <f t="shared" si="5"/>
        <v>0</v>
      </c>
      <c r="AL52" s="1">
        <f t="shared" si="5"/>
        <v>0</v>
      </c>
      <c r="AM52" s="1">
        <f t="shared" si="5"/>
        <v>0</v>
      </c>
      <c r="AN52" s="1">
        <f t="shared" si="5"/>
        <v>0</v>
      </c>
      <c r="AO52" s="1">
        <f t="shared" si="5"/>
        <v>0</v>
      </c>
      <c r="AP52" s="1">
        <f t="shared" si="5"/>
        <v>0</v>
      </c>
      <c r="AQ52" s="1">
        <f t="shared" si="5"/>
        <v>0</v>
      </c>
      <c r="AR52" s="1">
        <f t="shared" si="5"/>
        <v>0</v>
      </c>
      <c r="AS52" s="1">
        <f t="shared" si="5"/>
        <v>0</v>
      </c>
      <c r="AT52" s="1">
        <f t="shared" si="5"/>
        <v>0</v>
      </c>
      <c r="AU52" s="1">
        <f t="shared" si="5"/>
        <v>0</v>
      </c>
      <c r="AV52" s="1">
        <f t="shared" si="5"/>
        <v>0</v>
      </c>
      <c r="AW52" s="1">
        <f t="shared" si="5"/>
        <v>0</v>
      </c>
    </row>
    <row r="53" spans="1:49" hidden="1" x14ac:dyDescent="0.25"/>
    <row r="54" spans="1:49" hidden="1" x14ac:dyDescent="0.25"/>
    <row r="55" spans="1:49" hidden="1" x14ac:dyDescent="0.25">
      <c r="A55" t="s">
        <v>100</v>
      </c>
      <c r="B55" s="1">
        <f>B44+B45</f>
        <v>0</v>
      </c>
      <c r="C55" s="1">
        <f>C44+C45</f>
        <v>0</v>
      </c>
      <c r="D55" s="1">
        <f>D44+D45</f>
        <v>0</v>
      </c>
      <c r="E55" s="1">
        <f>E44+E45</f>
        <v>0</v>
      </c>
    </row>
    <row r="56" spans="1:49" hidden="1" x14ac:dyDescent="0.25"/>
    <row r="57" spans="1:49" hidden="1" x14ac:dyDescent="0.25"/>
  </sheetData>
  <sheetProtection algorithmName="SHA-512" hashValue="UXHk7QoGPaBu2t3KjNqLv9iqIPZxY8vXpL2fI4xH4xQQRzzsNVWuLb1Y2hUXMrHcQ09CzFv7Hoy5HbAzc5qODg==" saltValue="5R/Wn19UrMGov+ynBaveKw==" spinCount="100000" sheet="1" objects="1" scenarios="1"/>
  <mergeCells count="1">
    <mergeCell ref="B1:A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workbookViewId="0">
      <pane ySplit="1" topLeftCell="A2" activePane="bottomLeft" state="frozen"/>
      <selection pane="bottomLeft" activeCell="B7" sqref="B7"/>
    </sheetView>
  </sheetViews>
  <sheetFormatPr defaultRowHeight="42" customHeight="1" x14ac:dyDescent="0.25"/>
  <cols>
    <col min="2" max="4" width="55.75" customWidth="1"/>
  </cols>
  <sheetData>
    <row r="1" spans="2:4" ht="42" customHeight="1" x14ac:dyDescent="0.25">
      <c r="B1" s="267" t="s">
        <v>275</v>
      </c>
      <c r="C1" s="268" t="s">
        <v>276</v>
      </c>
      <c r="D1" s="268" t="s">
        <v>277</v>
      </c>
    </row>
    <row r="2" spans="2:4" ht="42" customHeight="1" x14ac:dyDescent="0.25">
      <c r="B2" s="270" t="s">
        <v>184</v>
      </c>
      <c r="C2" s="269" t="s">
        <v>278</v>
      </c>
      <c r="D2" s="269" t="s">
        <v>279</v>
      </c>
    </row>
    <row r="3" spans="2:4" ht="42" customHeight="1" x14ac:dyDescent="0.25">
      <c r="B3" s="270" t="s">
        <v>185</v>
      </c>
      <c r="C3" s="269" t="s">
        <v>280</v>
      </c>
      <c r="D3" s="269" t="s">
        <v>281</v>
      </c>
    </row>
    <row r="4" spans="2:4" ht="42" customHeight="1" x14ac:dyDescent="0.25">
      <c r="B4" s="270" t="s">
        <v>172</v>
      </c>
      <c r="C4" s="269" t="s">
        <v>282</v>
      </c>
      <c r="D4" s="269" t="s">
        <v>283</v>
      </c>
    </row>
    <row r="5" spans="2:4" ht="42" customHeight="1" x14ac:dyDescent="0.25">
      <c r="B5" s="270" t="s">
        <v>116</v>
      </c>
      <c r="C5" s="269" t="s">
        <v>284</v>
      </c>
      <c r="D5" s="269" t="s">
        <v>285</v>
      </c>
    </row>
    <row r="6" spans="2:4" ht="42" customHeight="1" x14ac:dyDescent="0.25">
      <c r="B6" s="270" t="s">
        <v>180</v>
      </c>
      <c r="C6" s="269" t="s">
        <v>286</v>
      </c>
      <c r="D6" s="269" t="s">
        <v>287</v>
      </c>
    </row>
    <row r="7" spans="2:4" ht="42" customHeight="1" x14ac:dyDescent="0.25">
      <c r="B7" s="270" t="s">
        <v>288</v>
      </c>
      <c r="C7" s="269" t="s">
        <v>289</v>
      </c>
      <c r="D7" s="269" t="s">
        <v>290</v>
      </c>
    </row>
    <row r="8" spans="2:4" ht="42" customHeight="1" x14ac:dyDescent="0.25">
      <c r="B8" s="270" t="s">
        <v>295</v>
      </c>
      <c r="C8" s="269" t="s">
        <v>296</v>
      </c>
      <c r="D8" s="269" t="s">
        <v>297</v>
      </c>
    </row>
    <row r="9" spans="2:4" ht="42" customHeight="1" x14ac:dyDescent="0.25">
      <c r="B9" s="270" t="s">
        <v>181</v>
      </c>
      <c r="C9" s="269" t="s">
        <v>291</v>
      </c>
      <c r="D9" s="269" t="s">
        <v>292</v>
      </c>
    </row>
    <row r="10" spans="2:4" ht="42" customHeight="1" x14ac:dyDescent="0.25">
      <c r="B10" s="270" t="s">
        <v>154</v>
      </c>
      <c r="C10" s="269" t="s">
        <v>293</v>
      </c>
      <c r="D10" s="269" t="s">
        <v>294</v>
      </c>
    </row>
    <row r="11" spans="2:4" ht="42" customHeight="1" x14ac:dyDescent="0.25">
      <c r="B11" s="269" t="s">
        <v>298</v>
      </c>
      <c r="C11" s="269" t="s">
        <v>299</v>
      </c>
      <c r="D11" s="269" t="s">
        <v>300</v>
      </c>
    </row>
    <row r="12" spans="2:4" ht="42" customHeight="1" x14ac:dyDescent="0.25">
      <c r="B12" s="269" t="s">
        <v>301</v>
      </c>
      <c r="C12" s="269" t="s">
        <v>302</v>
      </c>
      <c r="D12" s="269" t="s">
        <v>303</v>
      </c>
    </row>
    <row r="13" spans="2:4" ht="42" customHeight="1" x14ac:dyDescent="0.25">
      <c r="B13" s="269" t="s">
        <v>306</v>
      </c>
      <c r="C13" s="269" t="s">
        <v>307</v>
      </c>
      <c r="D13" s="269" t="s">
        <v>308</v>
      </c>
    </row>
    <row r="14" spans="2:4" ht="42" customHeight="1" x14ac:dyDescent="0.25">
      <c r="B14" s="269" t="s">
        <v>309</v>
      </c>
      <c r="C14" s="269" t="s">
        <v>310</v>
      </c>
      <c r="D14" s="269" t="s">
        <v>311</v>
      </c>
    </row>
    <row r="15" spans="2:4" ht="42" customHeight="1" x14ac:dyDescent="0.25">
      <c r="B15" s="269" t="s">
        <v>178</v>
      </c>
      <c r="C15" s="269" t="s">
        <v>312</v>
      </c>
      <c r="D15" s="269" t="s">
        <v>313</v>
      </c>
    </row>
    <row r="16" spans="2:4" ht="42" customHeight="1" x14ac:dyDescent="0.25">
      <c r="B16" s="269" t="s">
        <v>132</v>
      </c>
      <c r="C16" s="269" t="s">
        <v>316</v>
      </c>
      <c r="D16" s="269" t="s">
        <v>317</v>
      </c>
    </row>
    <row r="17" spans="2:4" ht="42" customHeight="1" x14ac:dyDescent="0.25">
      <c r="B17" s="269" t="s">
        <v>106</v>
      </c>
      <c r="C17" s="269" t="s">
        <v>314</v>
      </c>
      <c r="D17" s="269" t="s">
        <v>315</v>
      </c>
    </row>
    <row r="18" spans="2:4" ht="42" customHeight="1" x14ac:dyDescent="0.25">
      <c r="B18" s="269" t="s">
        <v>318</v>
      </c>
      <c r="C18" s="269" t="s">
        <v>319</v>
      </c>
      <c r="D18" s="269" t="s">
        <v>320</v>
      </c>
    </row>
    <row r="19" spans="2:4" ht="42" customHeight="1" x14ac:dyDescent="0.25">
      <c r="B19" s="269" t="s">
        <v>321</v>
      </c>
      <c r="C19" s="269" t="s">
        <v>322</v>
      </c>
      <c r="D19" s="269" t="s">
        <v>323</v>
      </c>
    </row>
    <row r="20" spans="2:4" ht="42" customHeight="1" x14ac:dyDescent="0.25">
      <c r="B20" s="269" t="s">
        <v>304</v>
      </c>
      <c r="C20" s="269" t="s">
        <v>305</v>
      </c>
      <c r="D20" s="269" t="s">
        <v>303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96"/>
  <sheetViews>
    <sheetView showGridLines="0" zoomScale="80" zoomScaleNormal="80" workbookViewId="0">
      <selection activeCell="G22" sqref="G22"/>
    </sheetView>
  </sheetViews>
  <sheetFormatPr defaultColWidth="9.125" defaultRowHeight="14.25" x14ac:dyDescent="0.25"/>
  <cols>
    <col min="1" max="1" width="1.375" style="97" customWidth="1"/>
    <col min="2" max="2" width="31.75" style="97" customWidth="1"/>
    <col min="3" max="3" width="14.125" style="97" customWidth="1"/>
    <col min="4" max="4" width="3" style="97" customWidth="1"/>
    <col min="5" max="5" width="11.375" style="97" customWidth="1"/>
    <col min="6" max="6" width="21.375" style="97" customWidth="1"/>
    <col min="7" max="7" width="15.75" style="97" customWidth="1"/>
    <col min="8" max="8" width="6" style="97" customWidth="1"/>
    <col min="9" max="9" width="10.375" style="97" customWidth="1"/>
    <col min="10" max="11" width="15.75" style="97" customWidth="1"/>
    <col min="12" max="12" width="2.875" style="98" customWidth="1"/>
    <col min="13" max="13" width="10.125" style="97" customWidth="1"/>
    <col min="14" max="14" width="12.125" style="97" customWidth="1"/>
    <col min="15" max="18" width="14.75" style="97" customWidth="1"/>
    <col min="19" max="20" width="12.125" style="97" customWidth="1"/>
    <col min="21" max="16384" width="9.125" style="97"/>
  </cols>
  <sheetData>
    <row r="1" spans="2:12" ht="6.6" customHeight="1" x14ac:dyDescent="0.25"/>
    <row r="2" spans="2:12" ht="17.25" customHeight="1" x14ac:dyDescent="0.25">
      <c r="B2" s="286" t="s">
        <v>259</v>
      </c>
      <c r="C2" s="286"/>
      <c r="D2" s="234"/>
      <c r="E2" s="287" t="s">
        <v>247</v>
      </c>
      <c r="F2" s="288"/>
      <c r="G2" s="251" t="s">
        <v>25</v>
      </c>
      <c r="H2" s="289" t="s">
        <v>12</v>
      </c>
      <c r="I2" s="289"/>
      <c r="J2" s="251" t="s">
        <v>13</v>
      </c>
      <c r="K2" s="249" t="s">
        <v>14</v>
      </c>
      <c r="L2" s="99"/>
    </row>
    <row r="3" spans="2:12" ht="17.25" customHeight="1" x14ac:dyDescent="0.25">
      <c r="B3" s="286"/>
      <c r="C3" s="286"/>
      <c r="D3" s="234"/>
      <c r="E3" s="287"/>
      <c r="F3" s="288"/>
      <c r="G3" s="257">
        <v>5</v>
      </c>
      <c r="H3" s="290">
        <v>10</v>
      </c>
      <c r="I3" s="290"/>
      <c r="J3" s="257">
        <v>15</v>
      </c>
      <c r="K3" s="116">
        <v>20</v>
      </c>
      <c r="L3" s="104"/>
    </row>
    <row r="4" spans="2:12" ht="17.25" customHeight="1" x14ac:dyDescent="0.25">
      <c r="B4" s="286"/>
      <c r="C4" s="286"/>
      <c r="D4" s="234"/>
      <c r="L4" s="104"/>
    </row>
    <row r="5" spans="2:12" ht="17.25" customHeight="1" x14ac:dyDescent="0.25">
      <c r="B5" s="233"/>
      <c r="C5" s="233"/>
      <c r="D5" s="233"/>
      <c r="E5" s="287" t="s">
        <v>251</v>
      </c>
      <c r="F5" s="287"/>
      <c r="G5" s="289" t="s">
        <v>25</v>
      </c>
      <c r="H5" s="289" t="s">
        <v>12</v>
      </c>
      <c r="I5" s="289"/>
      <c r="J5" s="289" t="s">
        <v>13</v>
      </c>
      <c r="K5" s="295" t="s">
        <v>14</v>
      </c>
      <c r="L5" s="104"/>
    </row>
    <row r="6" spans="2:12" ht="17.25" customHeight="1" x14ac:dyDescent="0.25">
      <c r="B6" s="292" t="s">
        <v>244</v>
      </c>
      <c r="C6" s="292"/>
      <c r="D6" s="233"/>
      <c r="E6" s="287"/>
      <c r="F6" s="287"/>
      <c r="G6" s="291"/>
      <c r="H6" s="291"/>
      <c r="I6" s="291"/>
      <c r="J6" s="291"/>
      <c r="K6" s="296"/>
      <c r="L6" s="104"/>
    </row>
    <row r="7" spans="2:12" ht="17.25" customHeight="1" x14ac:dyDescent="0.25">
      <c r="B7" s="293"/>
      <c r="C7" s="293"/>
      <c r="D7" s="233"/>
      <c r="E7" s="287"/>
      <c r="F7" s="287"/>
      <c r="G7" s="254">
        <f>O23*0.3</f>
        <v>56968.75</v>
      </c>
      <c r="H7" s="294">
        <f>P23*0.25</f>
        <v>160690.10416666666</v>
      </c>
      <c r="I7" s="294"/>
      <c r="J7" s="254">
        <f>Q23*0.2</f>
        <v>271875</v>
      </c>
      <c r="K7" s="224">
        <f>R23*0.15</f>
        <v>350960.9375</v>
      </c>
      <c r="L7" s="104"/>
    </row>
    <row r="8" spans="2:12" ht="17.25" customHeight="1" x14ac:dyDescent="0.25">
      <c r="B8" s="100" t="s">
        <v>184</v>
      </c>
      <c r="C8" s="101">
        <v>10000</v>
      </c>
      <c r="D8" s="233"/>
      <c r="F8" s="123"/>
      <c r="G8" s="124"/>
      <c r="H8" s="124"/>
      <c r="I8" s="124"/>
      <c r="J8" s="124"/>
      <c r="K8" s="124"/>
      <c r="L8" s="104"/>
    </row>
    <row r="9" spans="2:12" ht="17.25" customHeight="1" x14ac:dyDescent="0.25">
      <c r="B9" s="100" t="s">
        <v>185</v>
      </c>
      <c r="C9" s="101">
        <v>1500</v>
      </c>
      <c r="D9" s="233"/>
      <c r="E9" s="287" t="s">
        <v>252</v>
      </c>
      <c r="F9" s="287"/>
      <c r="G9" s="289" t="s">
        <v>25</v>
      </c>
      <c r="H9" s="289" t="s">
        <v>12</v>
      </c>
      <c r="I9" s="289"/>
      <c r="J9" s="289" t="s">
        <v>13</v>
      </c>
      <c r="K9" s="295" t="s">
        <v>14</v>
      </c>
      <c r="L9" s="104"/>
    </row>
    <row r="10" spans="2:12" ht="17.25" customHeight="1" x14ac:dyDescent="0.25">
      <c r="B10" s="100" t="s">
        <v>172</v>
      </c>
      <c r="C10" s="105">
        <v>5000</v>
      </c>
      <c r="D10" s="233"/>
      <c r="E10" s="287"/>
      <c r="F10" s="287"/>
      <c r="G10" s="291"/>
      <c r="H10" s="291"/>
      <c r="I10" s="291"/>
      <c r="J10" s="291"/>
      <c r="K10" s="296"/>
      <c r="L10" s="104"/>
    </row>
    <row r="11" spans="2:12" ht="17.25" customHeight="1" x14ac:dyDescent="0.25">
      <c r="B11" s="100" t="s">
        <v>116</v>
      </c>
      <c r="C11" s="101">
        <v>5000</v>
      </c>
      <c r="D11" s="233"/>
      <c r="E11" s="287"/>
      <c r="F11" s="287"/>
      <c r="G11" s="255">
        <v>75000</v>
      </c>
      <c r="H11" s="306">
        <v>75000</v>
      </c>
      <c r="I11" s="306"/>
      <c r="J11" s="255">
        <v>75000</v>
      </c>
      <c r="K11" s="127">
        <v>75000</v>
      </c>
      <c r="L11" s="104"/>
    </row>
    <row r="12" spans="2:12" ht="17.25" customHeight="1" x14ac:dyDescent="0.25">
      <c r="B12" s="111" t="s">
        <v>180</v>
      </c>
      <c r="C12" s="112">
        <v>7500</v>
      </c>
      <c r="D12" s="233"/>
      <c r="F12" s="236"/>
      <c r="G12" s="239"/>
      <c r="H12" s="102"/>
      <c r="I12" s="126"/>
      <c r="J12" s="236"/>
      <c r="K12" s="104"/>
      <c r="L12" s="104"/>
    </row>
    <row r="13" spans="2:12" ht="17.25" customHeight="1" x14ac:dyDescent="0.25">
      <c r="B13" s="233"/>
      <c r="C13" s="233"/>
      <c r="D13" s="233"/>
      <c r="E13" s="293" t="s">
        <v>248</v>
      </c>
      <c r="F13" s="293"/>
      <c r="G13" s="293"/>
      <c r="H13" s="102"/>
      <c r="I13" s="298" t="s">
        <v>326</v>
      </c>
      <c r="J13" s="299"/>
      <c r="K13" s="300"/>
      <c r="L13" s="104"/>
    </row>
    <row r="14" spans="2:12" ht="17.25" customHeight="1" x14ac:dyDescent="0.25">
      <c r="B14" s="310" t="s">
        <v>245</v>
      </c>
      <c r="C14" s="311"/>
      <c r="D14" s="233"/>
      <c r="F14" s="236"/>
      <c r="G14" s="239"/>
      <c r="H14" s="132">
        <f>E56/100</f>
        <v>0.25</v>
      </c>
      <c r="I14" s="301"/>
      <c r="J14" s="287"/>
      <c r="K14" s="302"/>
      <c r="L14" s="104"/>
    </row>
    <row r="15" spans="2:12" ht="17.25" customHeight="1" x14ac:dyDescent="0.25">
      <c r="B15" s="312"/>
      <c r="C15" s="313"/>
      <c r="D15" s="233"/>
      <c r="F15" s="236"/>
      <c r="G15" s="239"/>
      <c r="H15" s="102"/>
      <c r="I15" s="235"/>
      <c r="J15" s="100" t="s">
        <v>253</v>
      </c>
      <c r="K15" s="131">
        <v>5</v>
      </c>
      <c r="L15" s="104"/>
    </row>
    <row r="16" spans="2:12" ht="17.25" customHeight="1" x14ac:dyDescent="0.25">
      <c r="B16" s="100" t="s">
        <v>156</v>
      </c>
      <c r="C16" s="103">
        <v>0.2</v>
      </c>
      <c r="D16" s="233"/>
      <c r="E16" s="287" t="s">
        <v>249</v>
      </c>
      <c r="F16" s="287"/>
      <c r="G16" s="287"/>
      <c r="H16" s="102"/>
      <c r="I16" s="235"/>
      <c r="J16" s="100" t="s">
        <v>254</v>
      </c>
      <c r="K16" s="131">
        <v>1.5</v>
      </c>
      <c r="L16" s="104"/>
    </row>
    <row r="17" spans="2:18" ht="17.25" customHeight="1" x14ac:dyDescent="0.25">
      <c r="B17" s="100" t="s">
        <v>243</v>
      </c>
      <c r="C17" s="103">
        <v>0.65</v>
      </c>
      <c r="D17" s="233"/>
      <c r="F17" s="236"/>
      <c r="G17" s="239"/>
      <c r="H17" s="132">
        <f>E58/100</f>
        <v>0.5</v>
      </c>
      <c r="I17" s="314" t="s">
        <v>183</v>
      </c>
      <c r="J17" s="315"/>
      <c r="K17" s="308">
        <f>L79</f>
        <v>4634122.4895833321</v>
      </c>
      <c r="L17" s="104"/>
    </row>
    <row r="18" spans="2:18" ht="17.25" customHeight="1" x14ac:dyDescent="0.25">
      <c r="B18" s="100" t="s">
        <v>181</v>
      </c>
      <c r="C18" s="107">
        <v>0.35</v>
      </c>
      <c r="D18" s="233"/>
      <c r="F18" s="236"/>
      <c r="G18" s="239"/>
      <c r="H18" s="102"/>
      <c r="I18" s="316"/>
      <c r="J18" s="317"/>
      <c r="K18" s="309"/>
      <c r="L18" s="104"/>
    </row>
    <row r="19" spans="2:18" ht="17.25" customHeight="1" x14ac:dyDescent="0.25">
      <c r="B19" s="111" t="s">
        <v>154</v>
      </c>
      <c r="C19" s="110">
        <v>0.45</v>
      </c>
      <c r="D19" s="233"/>
      <c r="E19" s="298" t="s">
        <v>325</v>
      </c>
      <c r="F19" s="299"/>
      <c r="G19" s="300"/>
      <c r="L19" s="104"/>
    </row>
    <row r="20" spans="2:18" ht="17.25" customHeight="1" x14ac:dyDescent="0.25">
      <c r="B20" s="233"/>
      <c r="C20" s="233"/>
      <c r="D20" s="233"/>
      <c r="E20" s="301"/>
      <c r="F20" s="287"/>
      <c r="G20" s="302"/>
      <c r="L20" s="104"/>
    </row>
    <row r="21" spans="2:18" ht="17.25" customHeight="1" x14ac:dyDescent="0.25">
      <c r="B21" s="310" t="s">
        <v>246</v>
      </c>
      <c r="C21" s="311"/>
      <c r="D21" s="233"/>
      <c r="E21" s="263"/>
      <c r="F21" s="109" t="s">
        <v>258</v>
      </c>
      <c r="G21" s="264">
        <v>65000</v>
      </c>
      <c r="H21" s="260"/>
      <c r="I21" s="260"/>
      <c r="J21" s="260"/>
      <c r="K21" s="260"/>
      <c r="L21" s="104"/>
      <c r="M21" s="303" t="s">
        <v>186</v>
      </c>
      <c r="N21" s="304"/>
      <c r="O21" s="304"/>
      <c r="P21" s="304"/>
      <c r="Q21" s="304"/>
      <c r="R21" s="305"/>
    </row>
    <row r="22" spans="2:18" ht="17.25" customHeight="1" x14ac:dyDescent="0.25">
      <c r="B22" s="312"/>
      <c r="C22" s="313"/>
      <c r="D22" s="233"/>
      <c r="G22" s="126"/>
      <c r="H22" s="126"/>
      <c r="I22" s="126"/>
      <c r="J22" s="126"/>
      <c r="K22" s="126"/>
      <c r="L22" s="104"/>
      <c r="M22" s="262"/>
      <c r="N22" s="258"/>
      <c r="O22" s="252" t="s">
        <v>25</v>
      </c>
      <c r="P22" s="252" t="s">
        <v>12</v>
      </c>
      <c r="Q22" s="252" t="s">
        <v>13</v>
      </c>
      <c r="R22" s="250" t="s">
        <v>14</v>
      </c>
    </row>
    <row r="23" spans="2:18" ht="17.25" customHeight="1" x14ac:dyDescent="0.25">
      <c r="B23" s="100" t="s">
        <v>167</v>
      </c>
      <c r="C23" s="101">
        <v>75000</v>
      </c>
      <c r="D23" s="233"/>
      <c r="G23" s="126"/>
      <c r="H23" s="126"/>
      <c r="I23" s="261"/>
      <c r="J23" s="126"/>
      <c r="K23" s="126"/>
      <c r="L23" s="104"/>
      <c r="M23" s="262"/>
      <c r="N23" s="259" t="s">
        <v>173</v>
      </c>
      <c r="O23" s="256">
        <f>'P&amp;L Impact'!G50</f>
        <v>189895.83333333334</v>
      </c>
      <c r="P23" s="256">
        <f>'P&amp;L Impact'!I50</f>
        <v>642760.41666666663</v>
      </c>
      <c r="Q23" s="256">
        <f>'P&amp;L Impact'!K50</f>
        <v>1359375</v>
      </c>
      <c r="R23" s="138">
        <f>'P&amp;L Impact'!M50</f>
        <v>2339739.5833333335</v>
      </c>
    </row>
    <row r="24" spans="2:18" ht="17.25" customHeight="1" x14ac:dyDescent="0.25">
      <c r="B24" s="111" t="s">
        <v>110</v>
      </c>
      <c r="C24" s="112">
        <v>60000</v>
      </c>
      <c r="D24" s="233"/>
      <c r="G24" s="126"/>
      <c r="H24" s="126"/>
      <c r="I24" s="261"/>
      <c r="J24" s="126"/>
      <c r="K24" s="126"/>
      <c r="L24" s="104"/>
      <c r="M24" s="263"/>
      <c r="N24" s="237" t="s">
        <v>177</v>
      </c>
      <c r="O24" s="253">
        <f>'P&amp;L Impact'!G53</f>
        <v>-54333.333333333343</v>
      </c>
      <c r="P24" s="253">
        <f>'P&amp;L Impact'!I53</f>
        <v>32244.791666666628</v>
      </c>
      <c r="Q24" s="253">
        <f>'P&amp;L Impact'!K53</f>
        <v>224296.875</v>
      </c>
      <c r="R24" s="140">
        <f>'P&amp;L Impact'!M53</f>
        <v>561385.41666666698</v>
      </c>
    </row>
    <row r="25" spans="2:18" ht="17.25" customHeight="1" x14ac:dyDescent="0.25">
      <c r="D25" s="233"/>
      <c r="F25" s="236"/>
      <c r="G25" s="239"/>
      <c r="H25" s="102"/>
      <c r="I25" s="126"/>
      <c r="J25" s="236"/>
      <c r="K25" s="104"/>
      <c r="L25" s="104"/>
    </row>
    <row r="26" spans="2:18" ht="17.25" customHeight="1" x14ac:dyDescent="0.25">
      <c r="B26" s="233"/>
      <c r="C26" s="233"/>
      <c r="D26" s="233"/>
      <c r="F26" s="236"/>
      <c r="G26" s="239"/>
      <c r="H26" s="102"/>
      <c r="I26" s="126"/>
      <c r="J26" s="236"/>
      <c r="K26" s="104"/>
      <c r="L26" s="104"/>
    </row>
    <row r="27" spans="2:18" ht="17.25" customHeight="1" x14ac:dyDescent="0.25">
      <c r="F27" s="126"/>
      <c r="G27" s="126"/>
      <c r="H27" s="102"/>
      <c r="I27" s="126"/>
      <c r="J27" s="126"/>
      <c r="K27" s="126"/>
      <c r="L27" s="108"/>
    </row>
    <row r="28" spans="2:18" ht="17.25" customHeight="1" x14ac:dyDescent="0.25">
      <c r="H28" s="106"/>
      <c r="L28" s="108"/>
    </row>
    <row r="29" spans="2:18" ht="17.25" customHeight="1" x14ac:dyDescent="0.25">
      <c r="H29" s="106"/>
    </row>
    <row r="30" spans="2:18" ht="17.25" customHeight="1" x14ac:dyDescent="0.25">
      <c r="H30" s="106"/>
      <c r="L30" s="113"/>
      <c r="O30" s="114"/>
    </row>
    <row r="31" spans="2:18" ht="17.25" customHeight="1" x14ac:dyDescent="0.25">
      <c r="F31" s="113"/>
      <c r="G31" s="113"/>
      <c r="H31" s="113"/>
      <c r="I31" s="126"/>
      <c r="O31" s="114"/>
    </row>
    <row r="32" spans="2:18" ht="17.25" customHeight="1" x14ac:dyDescent="0.25">
      <c r="F32" s="126"/>
      <c r="I32" s="126"/>
      <c r="O32" s="115"/>
    </row>
    <row r="33" spans="2:15" ht="17.25" customHeight="1" x14ac:dyDescent="0.25">
      <c r="I33" s="113"/>
      <c r="O33" s="115"/>
    </row>
    <row r="34" spans="2:15" ht="17.25" customHeight="1" x14ac:dyDescent="0.25">
      <c r="I34" s="126"/>
      <c r="O34" s="114"/>
    </row>
    <row r="35" spans="2:15" ht="17.25" customHeight="1" x14ac:dyDescent="0.25">
      <c r="I35" s="126"/>
      <c r="L35" s="117"/>
      <c r="O35" s="114"/>
    </row>
    <row r="36" spans="2:15" ht="17.25" customHeight="1" x14ac:dyDescent="0.25">
      <c r="I36" s="126"/>
      <c r="L36" s="118"/>
      <c r="O36" s="114"/>
    </row>
    <row r="37" spans="2:15" ht="17.25" customHeight="1" x14ac:dyDescent="0.25">
      <c r="I37" s="126"/>
      <c r="O37" s="115"/>
    </row>
    <row r="38" spans="2:15" ht="17.25" customHeight="1" x14ac:dyDescent="0.25">
      <c r="L38" s="228"/>
      <c r="M38" s="122"/>
      <c r="O38" s="115"/>
    </row>
    <row r="39" spans="2:15" ht="17.25" customHeight="1" x14ac:dyDescent="0.25">
      <c r="L39" s="125"/>
    </row>
    <row r="40" spans="2:15" ht="17.25" customHeight="1" x14ac:dyDescent="0.25">
      <c r="E40" s="126"/>
      <c r="K40" s="122"/>
      <c r="L40" s="124"/>
      <c r="M40" s="122"/>
      <c r="N40" s="297"/>
      <c r="O40" s="227"/>
    </row>
    <row r="41" spans="2:15" ht="17.25" customHeight="1" x14ac:dyDescent="0.25">
      <c r="E41" s="126"/>
      <c r="K41" s="122"/>
      <c r="L41" s="228"/>
      <c r="M41" s="122"/>
      <c r="N41" s="297"/>
      <c r="O41" s="114"/>
    </row>
    <row r="42" spans="2:15" ht="17.25" customHeight="1" x14ac:dyDescent="0.25">
      <c r="E42" s="126"/>
      <c r="K42" s="122"/>
      <c r="L42" s="128"/>
      <c r="M42" s="122"/>
      <c r="N42" s="297"/>
      <c r="O42" s="114"/>
    </row>
    <row r="43" spans="2:15" ht="17.25" customHeight="1" x14ac:dyDescent="0.25">
      <c r="B43" s="129"/>
      <c r="C43" s="129"/>
      <c r="D43" s="129"/>
      <c r="E43" s="126"/>
      <c r="K43" s="122"/>
      <c r="L43" s="126"/>
      <c r="M43" s="122"/>
      <c r="N43" s="297"/>
      <c r="O43" s="115"/>
    </row>
    <row r="44" spans="2:15" ht="17.25" customHeight="1" x14ac:dyDescent="0.25">
      <c r="E44" s="126"/>
      <c r="K44" s="122"/>
      <c r="L44" s="130"/>
      <c r="M44" s="122"/>
      <c r="N44" s="297"/>
      <c r="O44" s="115"/>
    </row>
    <row r="45" spans="2:15" ht="17.25" customHeight="1" x14ac:dyDescent="0.25">
      <c r="K45" s="122"/>
      <c r="L45" s="118"/>
      <c r="M45" s="122"/>
      <c r="N45" s="122"/>
    </row>
    <row r="46" spans="2:15" ht="17.25" customHeight="1" x14ac:dyDescent="0.25">
      <c r="K46" s="122"/>
      <c r="L46" s="118"/>
      <c r="M46" s="122"/>
      <c r="N46" s="122"/>
    </row>
    <row r="47" spans="2:15" ht="17.25" customHeight="1" x14ac:dyDescent="0.25">
      <c r="I47" s="126"/>
      <c r="J47" s="133"/>
      <c r="K47" s="134"/>
      <c r="L47" s="135"/>
      <c r="M47" s="238"/>
      <c r="N47" s="122"/>
    </row>
    <row r="48" spans="2:15" ht="17.25" customHeight="1" x14ac:dyDescent="0.25">
      <c r="B48" s="136"/>
      <c r="C48" s="136"/>
      <c r="D48" s="136"/>
      <c r="K48" s="122"/>
      <c r="L48" s="126"/>
      <c r="M48" s="126"/>
      <c r="N48" s="122"/>
    </row>
    <row r="49" spans="2:20" ht="17.25" customHeight="1" x14ac:dyDescent="0.25">
      <c r="B49" s="137"/>
      <c r="C49" s="137"/>
      <c r="D49" s="137"/>
      <c r="K49" s="122"/>
      <c r="L49" s="126"/>
      <c r="M49" s="126"/>
      <c r="N49" s="122"/>
      <c r="S49" s="139"/>
    </row>
    <row r="50" spans="2:20" ht="17.25" customHeight="1" x14ac:dyDescent="0.25">
      <c r="B50" s="137"/>
      <c r="C50" s="137"/>
      <c r="D50" s="137"/>
      <c r="M50" s="126"/>
    </row>
    <row r="51" spans="2:20" ht="17.25" customHeight="1" x14ac:dyDescent="0.25">
      <c r="N51" s="141"/>
      <c r="O51" s="142"/>
      <c r="P51" s="142"/>
      <c r="Q51" s="142"/>
      <c r="R51" s="142"/>
    </row>
    <row r="52" spans="2:20" ht="17.25" customHeight="1" x14ac:dyDescent="0.25">
      <c r="B52" s="137"/>
      <c r="C52" s="137"/>
      <c r="D52" s="137"/>
    </row>
    <row r="53" spans="2:20" x14ac:dyDescent="0.25">
      <c r="N53" s="143"/>
      <c r="P53" s="144"/>
      <c r="Q53" s="145"/>
    </row>
    <row r="54" spans="2:20" x14ac:dyDescent="0.25">
      <c r="N54" s="143"/>
      <c r="P54" s="144"/>
      <c r="Q54" s="144"/>
    </row>
    <row r="55" spans="2:20" hidden="1" x14ac:dyDescent="0.25">
      <c r="B55" s="307" t="s">
        <v>105</v>
      </c>
      <c r="C55" s="307"/>
      <c r="D55" s="307"/>
      <c r="E55" s="307"/>
    </row>
    <row r="56" spans="2:20" hidden="1" x14ac:dyDescent="0.25">
      <c r="B56" s="146" t="s">
        <v>132</v>
      </c>
      <c r="C56" s="146"/>
      <c r="D56" s="146"/>
      <c r="E56" s="147">
        <v>25</v>
      </c>
    </row>
    <row r="57" spans="2:20" hidden="1" x14ac:dyDescent="0.25">
      <c r="B57" s="146" t="s">
        <v>57</v>
      </c>
      <c r="C57" s="146"/>
      <c r="D57" s="146"/>
      <c r="E57" s="147">
        <v>0</v>
      </c>
    </row>
    <row r="58" spans="2:20" hidden="1" x14ac:dyDescent="0.25">
      <c r="B58" s="148" t="s">
        <v>106</v>
      </c>
      <c r="C58" s="148"/>
      <c r="D58" s="148"/>
      <c r="E58" s="149">
        <v>50</v>
      </c>
      <c r="I58" s="150"/>
    </row>
    <row r="59" spans="2:20" hidden="1" x14ac:dyDescent="0.25">
      <c r="B59" s="148" t="s">
        <v>157</v>
      </c>
      <c r="C59" s="148"/>
      <c r="D59" s="148"/>
      <c r="E59" s="149">
        <v>100</v>
      </c>
    </row>
    <row r="60" spans="2:20" hidden="1" x14ac:dyDescent="0.25">
      <c r="B60" s="148" t="s">
        <v>161</v>
      </c>
      <c r="C60" s="148"/>
      <c r="D60" s="148"/>
      <c r="E60" s="149">
        <v>100</v>
      </c>
    </row>
    <row r="61" spans="2:20" x14ac:dyDescent="0.25">
      <c r="G61" s="145"/>
      <c r="H61" s="145"/>
      <c r="I61" s="145"/>
      <c r="K61" s="145"/>
      <c r="L61" s="151"/>
      <c r="S61" s="145"/>
      <c r="T61" s="145"/>
    </row>
    <row r="62" spans="2:20" x14ac:dyDescent="0.25">
      <c r="J62" s="97" t="s">
        <v>173</v>
      </c>
      <c r="S62" s="145"/>
      <c r="T62" s="145"/>
    </row>
    <row r="63" spans="2:20" x14ac:dyDescent="0.25">
      <c r="I63" s="97">
        <v>1</v>
      </c>
      <c r="J63" s="97">
        <v>2</v>
      </c>
      <c r="K63" s="97">
        <v>3</v>
      </c>
      <c r="L63" s="97">
        <v>4</v>
      </c>
      <c r="S63" s="145"/>
      <c r="T63" s="145"/>
    </row>
    <row r="64" spans="2:20" x14ac:dyDescent="0.25">
      <c r="G64" s="143" t="s">
        <v>124</v>
      </c>
      <c r="H64" s="143"/>
      <c r="I64" s="144">
        <f>'P&amp;L Impact'!G4+'P&amp;L Impact'!G5+'P&amp;L Impact'!G6+'P&amp;L Impact'!G7+'P&amp;L Impact'!G11</f>
        <v>138802.08333333334</v>
      </c>
      <c r="J64" s="144">
        <f>'P&amp;L Impact'!I4+'P&amp;L Impact'!I5+'P&amp;L Impact'!I6+'P&amp;L Impact'!I7+'P&amp;L Impact'!I11</f>
        <v>533854.16666666663</v>
      </c>
      <c r="K64" s="144">
        <f>'P&amp;L Impact'!K4+'P&amp;L Impact'!K5+'P&amp;L Impact'!K6+'P&amp;L Impact'!K7+'P&amp;L Impact'!K11</f>
        <v>1185156.2500000002</v>
      </c>
      <c r="L64" s="144">
        <f>'P&amp;L Impact'!M4+'P&amp;L Impact'!M5+'P&amp;L Impact'!M6+'P&amp;L Impact'!M7+'P&amp;L Impact'!M11</f>
        <v>2092708.3333333333</v>
      </c>
      <c r="N64" s="144">
        <f>SUM(I64:L64)</f>
        <v>3950520.8333333335</v>
      </c>
      <c r="S64" s="145"/>
      <c r="T64" s="145"/>
    </row>
    <row r="65" spans="7:20" x14ac:dyDescent="0.25">
      <c r="G65" s="145" t="s">
        <v>123</v>
      </c>
      <c r="H65" s="145"/>
      <c r="I65" s="145">
        <f>'P&amp;L Impact'!G10+'P&amp;L Impact'!G12</f>
        <v>51093.749999999993</v>
      </c>
      <c r="J65" s="145">
        <f>'P&amp;L Impact'!I10+'P&amp;L Impact'!I12</f>
        <v>108906.24999999999</v>
      </c>
      <c r="K65" s="145">
        <f>'P&amp;L Impact'!K10+'P&amp;L Impact'!K12</f>
        <v>174218.75</v>
      </c>
      <c r="L65" s="145">
        <f>'P&amp;L Impact'!M10+'P&amp;L Impact'!M12</f>
        <v>247031.24999999997</v>
      </c>
      <c r="N65" s="144">
        <f>SUM(I65:L65)</f>
        <v>581250</v>
      </c>
      <c r="S65" s="145"/>
      <c r="T65" s="145"/>
    </row>
    <row r="66" spans="7:20" x14ac:dyDescent="0.25">
      <c r="G66" s="145"/>
      <c r="H66" s="145"/>
      <c r="I66" s="145">
        <f>SUM(I63:I65)</f>
        <v>189896.83333333334</v>
      </c>
      <c r="J66" s="145">
        <f t="shared" ref="J66:K66" si="0">SUM(J63:J65)</f>
        <v>642762.41666666663</v>
      </c>
      <c r="K66" s="145">
        <f t="shared" si="0"/>
        <v>1359378.0000000002</v>
      </c>
      <c r="L66" s="145">
        <f>SUM(L63:L65)</f>
        <v>2339743.583333333</v>
      </c>
      <c r="N66" s="144">
        <f>SUM(I66:L66)</f>
        <v>4531780.833333333</v>
      </c>
      <c r="S66" s="145"/>
      <c r="T66" s="145"/>
    </row>
    <row r="67" spans="7:20" x14ac:dyDescent="0.25">
      <c r="G67" s="145"/>
      <c r="H67" s="145"/>
      <c r="I67" s="145"/>
      <c r="J67" s="145"/>
      <c r="K67" s="145"/>
      <c r="L67" s="145"/>
      <c r="N67" s="145"/>
      <c r="S67" s="145"/>
      <c r="T67" s="145"/>
    </row>
    <row r="68" spans="7:20" x14ac:dyDescent="0.25">
      <c r="J68" s="97" t="s">
        <v>182</v>
      </c>
      <c r="L68" s="97"/>
      <c r="N68" s="145"/>
      <c r="S68" s="145"/>
      <c r="T68" s="145"/>
    </row>
    <row r="69" spans="7:20" x14ac:dyDescent="0.25">
      <c r="I69" s="97">
        <v>1</v>
      </c>
      <c r="J69" s="97">
        <v>2</v>
      </c>
      <c r="K69" s="97">
        <v>3</v>
      </c>
      <c r="L69" s="97">
        <v>4</v>
      </c>
      <c r="N69" s="145"/>
      <c r="S69" s="145"/>
      <c r="T69" s="145"/>
    </row>
    <row r="70" spans="7:20" x14ac:dyDescent="0.25">
      <c r="G70" s="143" t="s">
        <v>124</v>
      </c>
      <c r="H70" s="143"/>
      <c r="I70" s="144">
        <f>I64-'P&amp;L Impact'!G28-'P&amp;L Impact'!G31</f>
        <v>59752.604166666672</v>
      </c>
      <c r="J70" s="144">
        <f>J64-'P&amp;L Impact'!I28-'P&amp;L Impact'!I31</f>
        <v>229817.70833333331</v>
      </c>
      <c r="K70" s="144">
        <f>K64-'P&amp;L Impact'!K28-'P&amp;L Impact'!K31</f>
        <v>510195.31250000012</v>
      </c>
      <c r="L70" s="144">
        <f>L64-'P&amp;L Impact'!M28-'P&amp;L Impact'!M31</f>
        <v>900885.41666666651</v>
      </c>
      <c r="N70" s="144">
        <f>SUM(I70:L70)</f>
        <v>1700651.0416666665</v>
      </c>
      <c r="O70" s="152">
        <f>N70/N64</f>
        <v>0.43048780487804872</v>
      </c>
      <c r="S70" s="145"/>
      <c r="T70" s="145"/>
    </row>
    <row r="71" spans="7:20" x14ac:dyDescent="0.25">
      <c r="G71" s="145" t="s">
        <v>123</v>
      </c>
      <c r="H71" s="145"/>
      <c r="I71" s="145">
        <f>I65-'P&amp;L Impact'!G30-'P&amp;L Impact'!G32</f>
        <v>17882.812499999993</v>
      </c>
      <c r="J71" s="145">
        <f>J65-'P&amp;L Impact'!I30-'P&amp;L Impact'!I32</f>
        <v>38117.187499999985</v>
      </c>
      <c r="K71" s="145">
        <f>K65-'P&amp;L Impact'!K30-'P&amp;L Impact'!K32</f>
        <v>60976.5625</v>
      </c>
      <c r="L71" s="145">
        <f>L65-'P&amp;L Impact'!M30-'P&amp;L Impact'!M32</f>
        <v>86460.937499999971</v>
      </c>
      <c r="N71" s="144">
        <f>SUM(I71:L71)</f>
        <v>203437.49999999994</v>
      </c>
      <c r="O71" s="152">
        <f t="shared" ref="O71:O72" si="1">N71/N65</f>
        <v>0.34999999999999992</v>
      </c>
      <c r="S71" s="145"/>
      <c r="T71" s="145"/>
    </row>
    <row r="72" spans="7:20" x14ac:dyDescent="0.25">
      <c r="G72" s="145"/>
      <c r="H72" s="145"/>
      <c r="I72" s="145">
        <f>SUM(I69:I71)</f>
        <v>77636.416666666657</v>
      </c>
      <c r="J72" s="145">
        <f t="shared" ref="J72" si="2">SUM(J69:J71)</f>
        <v>267936.89583333331</v>
      </c>
      <c r="K72" s="145">
        <f t="shared" ref="K72" si="3">SUM(K69:K71)</f>
        <v>571174.87500000012</v>
      </c>
      <c r="L72" s="145">
        <f t="shared" ref="L72" si="4">SUM(L69:L71)</f>
        <v>987350.35416666651</v>
      </c>
      <c r="N72" s="144">
        <f>SUM(I72:L72)</f>
        <v>1904098.5416666665</v>
      </c>
      <c r="O72" s="152">
        <f t="shared" si="1"/>
        <v>0.42016562841281857</v>
      </c>
      <c r="S72" s="145"/>
      <c r="T72" s="145"/>
    </row>
    <row r="73" spans="7:20" x14ac:dyDescent="0.25">
      <c r="G73" s="145"/>
      <c r="H73" s="145"/>
      <c r="I73" s="145"/>
      <c r="J73" s="145"/>
      <c r="K73" s="145"/>
      <c r="L73" s="151"/>
      <c r="M73" s="145"/>
      <c r="N73" s="145"/>
      <c r="S73" s="145"/>
      <c r="T73" s="145"/>
    </row>
    <row r="74" spans="7:20" x14ac:dyDescent="0.25">
      <c r="N74" s="145"/>
      <c r="S74" s="145"/>
      <c r="T74" s="145"/>
    </row>
    <row r="75" spans="7:20" x14ac:dyDescent="0.25">
      <c r="J75" s="97" t="s">
        <v>129</v>
      </c>
      <c r="N75" s="145"/>
      <c r="S75" s="145"/>
      <c r="T75" s="145"/>
    </row>
    <row r="76" spans="7:20" x14ac:dyDescent="0.25">
      <c r="I76" s="97">
        <v>1</v>
      </c>
      <c r="J76" s="97">
        <v>2</v>
      </c>
      <c r="K76" s="97">
        <v>3</v>
      </c>
      <c r="L76" s="97">
        <v>4</v>
      </c>
      <c r="N76" s="145"/>
      <c r="S76" s="145"/>
      <c r="T76" s="145"/>
    </row>
    <row r="77" spans="7:20" x14ac:dyDescent="0.25">
      <c r="G77" s="143" t="s">
        <v>124</v>
      </c>
      <c r="H77" s="143"/>
      <c r="I77" s="144">
        <f>I70*$K$15</f>
        <v>298763.02083333337</v>
      </c>
      <c r="J77" s="144">
        <f>J70*$K$15</f>
        <v>1149088.5416666665</v>
      </c>
      <c r="K77" s="144">
        <f>K70*$K$15</f>
        <v>2550976.5625000005</v>
      </c>
      <c r="L77" s="144">
        <f>L70*$K$15</f>
        <v>4504427.0833333321</v>
      </c>
      <c r="S77" s="145"/>
      <c r="T77" s="145"/>
    </row>
    <row r="78" spans="7:20" x14ac:dyDescent="0.25">
      <c r="G78" s="145" t="s">
        <v>123</v>
      </c>
      <c r="H78" s="145"/>
      <c r="I78" s="145">
        <f>I71*$K$16</f>
        <v>26824.218749999989</v>
      </c>
      <c r="J78" s="145">
        <f>J71*$K$16</f>
        <v>57175.781249999978</v>
      </c>
      <c r="K78" s="145">
        <f>K71*$K$16</f>
        <v>91464.84375</v>
      </c>
      <c r="L78" s="145">
        <f>L71*$K$16</f>
        <v>129691.40624999996</v>
      </c>
      <c r="S78" s="145"/>
      <c r="T78" s="145"/>
    </row>
    <row r="79" spans="7:20" x14ac:dyDescent="0.25">
      <c r="G79" s="145"/>
      <c r="H79" s="145"/>
      <c r="I79" s="145">
        <f>SUM(I76:I78)</f>
        <v>325588.23958333337</v>
      </c>
      <c r="J79" s="145">
        <f t="shared" ref="J79" si="5">SUM(J76:J78)</f>
        <v>1206266.3229166665</v>
      </c>
      <c r="K79" s="145">
        <f t="shared" ref="K79" si="6">SUM(K76:K78)</f>
        <v>2642444.4062500005</v>
      </c>
      <c r="L79" s="145">
        <f t="shared" ref="L79" si="7">SUM(L76:L78)</f>
        <v>4634122.4895833321</v>
      </c>
      <c r="S79" s="145"/>
      <c r="T79" s="145"/>
    </row>
    <row r="80" spans="7:20" x14ac:dyDescent="0.25">
      <c r="G80" s="145"/>
      <c r="H80" s="145"/>
      <c r="I80" s="145"/>
      <c r="K80" s="145"/>
      <c r="L80" s="151"/>
      <c r="S80" s="145"/>
      <c r="T80" s="145"/>
    </row>
    <row r="81" spans="6:20" x14ac:dyDescent="0.25">
      <c r="J81" s="97" t="s">
        <v>17</v>
      </c>
      <c r="S81" s="145"/>
      <c r="T81" s="145"/>
    </row>
    <row r="82" spans="6:20" x14ac:dyDescent="0.25">
      <c r="I82" s="97">
        <v>1</v>
      </c>
      <c r="J82" s="97">
        <v>2</v>
      </c>
      <c r="K82" s="97">
        <v>3</v>
      </c>
      <c r="M82" s="97">
        <v>4</v>
      </c>
      <c r="S82" s="145"/>
      <c r="T82" s="145"/>
    </row>
    <row r="83" spans="6:20" x14ac:dyDescent="0.25">
      <c r="G83" s="143" t="s">
        <v>89</v>
      </c>
      <c r="H83" s="143"/>
      <c r="I83" s="153">
        <f>G3*$E$57/100</f>
        <v>0</v>
      </c>
      <c r="J83" s="153">
        <f>(H3*$E$57/100)+I83-(I83*'"Fine Tune" Variables'!$G$9)</f>
        <v>0</v>
      </c>
      <c r="K83" s="153">
        <f>(J3*$E$57/100)+J83-((J83-I83)*'"Fine Tune" Variables'!$G$9)</f>
        <v>0</v>
      </c>
      <c r="L83" s="154"/>
      <c r="M83" s="153">
        <f>(K3*$E$57/100)+K83-((K83-J83)*'"Fine Tune" Variables'!$G$9)</f>
        <v>0</v>
      </c>
    </row>
    <row r="89" spans="6:20" hidden="1" x14ac:dyDescent="0.25"/>
    <row r="90" spans="6:20" ht="28.5" hidden="1" x14ac:dyDescent="0.25">
      <c r="F90" s="155" t="s">
        <v>55</v>
      </c>
      <c r="G90" s="119" t="s">
        <v>25</v>
      </c>
      <c r="H90" s="120"/>
      <c r="I90" s="120" t="s">
        <v>12</v>
      </c>
      <c r="J90" s="120" t="s">
        <v>13</v>
      </c>
      <c r="K90" s="121" t="s">
        <v>14</v>
      </c>
      <c r="L90" s="228"/>
    </row>
    <row r="91" spans="6:20" hidden="1" x14ac:dyDescent="0.25">
      <c r="F91" s="226"/>
      <c r="G91" s="156">
        <v>0</v>
      </c>
      <c r="H91" s="157"/>
      <c r="I91" s="157">
        <v>0</v>
      </c>
      <c r="J91" s="157">
        <v>0</v>
      </c>
      <c r="K91" s="158">
        <v>0</v>
      </c>
      <c r="L91" s="124"/>
    </row>
    <row r="92" spans="6:20" hidden="1" x14ac:dyDescent="0.25"/>
    <row r="93" spans="6:20" hidden="1" x14ac:dyDescent="0.25"/>
    <row r="94" spans="6:20" hidden="1" x14ac:dyDescent="0.25">
      <c r="I94" s="159"/>
      <c r="J94" s="160" t="s">
        <v>176</v>
      </c>
      <c r="K94" s="161">
        <v>1</v>
      </c>
      <c r="L94" s="162"/>
    </row>
    <row r="95" spans="6:20" hidden="1" x14ac:dyDescent="0.25"/>
    <row r="96" spans="6:20" hidden="1" x14ac:dyDescent="0.25">
      <c r="I96" s="100" t="s">
        <v>236</v>
      </c>
      <c r="J96" s="103">
        <v>0</v>
      </c>
    </row>
  </sheetData>
  <sheetProtection algorithmName="SHA-512" hashValue="mr6RsvJ6Pa49GD8Xn0E74U+3BpSJghc1j+rqPLR4bqeFrti+S9Bu/xnoFvJnudtvU7SaGN9II1Xf+DqyPydA1w==" saltValue="TvMxFUAadAWaySGG6G1EIQ==" spinCount="100000" sheet="1" objects="1" scenarios="1"/>
  <mergeCells count="28">
    <mergeCell ref="B55:E55"/>
    <mergeCell ref="K17:K18"/>
    <mergeCell ref="B14:C15"/>
    <mergeCell ref="E13:G13"/>
    <mergeCell ref="E16:G16"/>
    <mergeCell ref="I17:J18"/>
    <mergeCell ref="B21:C22"/>
    <mergeCell ref="K5:K6"/>
    <mergeCell ref="N40:N44"/>
    <mergeCell ref="I13:K14"/>
    <mergeCell ref="M21:R21"/>
    <mergeCell ref="E19:G20"/>
    <mergeCell ref="G9:G10"/>
    <mergeCell ref="J9:J10"/>
    <mergeCell ref="K9:K10"/>
    <mergeCell ref="J5:J6"/>
    <mergeCell ref="E9:F11"/>
    <mergeCell ref="H9:I10"/>
    <mergeCell ref="H11:I11"/>
    <mergeCell ref="B2:C4"/>
    <mergeCell ref="E2:F3"/>
    <mergeCell ref="H2:I2"/>
    <mergeCell ref="H3:I3"/>
    <mergeCell ref="G5:G6"/>
    <mergeCell ref="E5:F7"/>
    <mergeCell ref="B6:C7"/>
    <mergeCell ref="H5:I6"/>
    <mergeCell ref="H7:I7"/>
  </mergeCells>
  <pageMargins left="0.7" right="0.7" top="0.75" bottom="0.75" header="0.3" footer="0.3"/>
  <pageSetup orientation="portrait" r:id="rId1"/>
  <ignoredErrors>
    <ignoredError sqref="G7:K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Scroll Bar 5">
              <controlPr locked="0" defaultSize="0" autoPict="0">
                <anchor moveWithCells="1">
                  <from>
                    <xdr:col>3</xdr:col>
                    <xdr:colOff>200025</xdr:colOff>
                    <xdr:row>13</xdr:row>
                    <xdr:rowOff>9525</xdr:rowOff>
                  </from>
                  <to>
                    <xdr:col>6</xdr:col>
                    <xdr:colOff>1047750</xdr:colOff>
                    <xdr:row>14</xdr:row>
                    <xdr:rowOff>66675</xdr:rowOff>
                  </to>
                </anchor>
              </controlPr>
            </control>
          </mc:Choice>
        </mc:AlternateContent>
        <mc:AlternateContent xmlns:mc="http://schemas.openxmlformats.org/markup-compatibility/2006">
          <mc:Choice Requires="x14">
            <control shapeId="1051" r:id="rId5" name="Scroll Bar 27">
              <controlPr locked="0" defaultSize="0" autoPict="0">
                <anchor moveWithCells="1">
                  <from>
                    <xdr:col>4</xdr:col>
                    <xdr:colOff>0</xdr:colOff>
                    <xdr:row>16</xdr:row>
                    <xdr:rowOff>9525</xdr:rowOff>
                  </from>
                  <to>
                    <xdr:col>7</xdr:col>
                    <xdr:colOff>0</xdr:colOff>
                    <xdr:row>17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T43"/>
  <sheetViews>
    <sheetView showGridLines="0" zoomScale="80" zoomScaleNormal="80" workbookViewId="0">
      <selection activeCell="D50" sqref="D50"/>
    </sheetView>
  </sheetViews>
  <sheetFormatPr defaultColWidth="9.125" defaultRowHeight="15" x14ac:dyDescent="0.25"/>
  <cols>
    <col min="1" max="1" width="2.625" style="14" customWidth="1"/>
    <col min="2" max="2" width="51.25" style="14" bestFit="1" customWidth="1"/>
    <col min="3" max="3" width="12.75" style="14" customWidth="1"/>
    <col min="4" max="4" width="29.75" style="14" customWidth="1"/>
    <col min="5" max="5" width="7.375" style="14" customWidth="1"/>
    <col min="6" max="6" width="39.625" style="14" customWidth="1"/>
    <col min="7" max="11" width="13.625" style="14" customWidth="1"/>
    <col min="12" max="16384" width="9.125" style="14"/>
  </cols>
  <sheetData>
    <row r="1" spans="2:10" ht="26.1" customHeight="1" x14ac:dyDescent="0.25"/>
    <row r="2" spans="2:10" ht="22.5" hidden="1" customHeight="1" x14ac:dyDescent="0.25">
      <c r="B2" s="318" t="s">
        <v>117</v>
      </c>
      <c r="C2" s="319"/>
      <c r="D2" s="320"/>
    </row>
    <row r="3" spans="2:10" ht="14.45" hidden="1" customHeight="1" x14ac:dyDescent="0.25">
      <c r="B3" s="321" t="s">
        <v>119</v>
      </c>
      <c r="C3" s="322"/>
      <c r="D3" s="323"/>
      <c r="F3" s="329" t="s">
        <v>68</v>
      </c>
      <c r="G3" s="27" t="s">
        <v>25</v>
      </c>
      <c r="H3" s="27" t="s">
        <v>12</v>
      </c>
      <c r="I3" s="27" t="s">
        <v>13</v>
      </c>
      <c r="J3" s="28" t="s">
        <v>14</v>
      </c>
    </row>
    <row r="4" spans="2:10" ht="14.45" hidden="1" customHeight="1" x14ac:dyDescent="0.25">
      <c r="B4" s="324"/>
      <c r="C4" s="325"/>
      <c r="D4" s="326"/>
      <c r="F4" s="330"/>
      <c r="G4" s="61">
        <v>0</v>
      </c>
      <c r="H4" s="61">
        <v>0</v>
      </c>
      <c r="I4" s="61">
        <v>0</v>
      </c>
      <c r="J4" s="62">
        <v>0</v>
      </c>
    </row>
    <row r="5" spans="2:10" ht="14.45" hidden="1" customHeight="1" x14ac:dyDescent="0.25">
      <c r="B5" s="17" t="s">
        <v>87</v>
      </c>
      <c r="C5" s="67">
        <v>0</v>
      </c>
      <c r="D5" s="20" t="s">
        <v>11</v>
      </c>
    </row>
    <row r="6" spans="2:10" ht="14.45" hidden="1" customHeight="1" x14ac:dyDescent="0.25">
      <c r="B6" s="15" t="s">
        <v>126</v>
      </c>
      <c r="C6" s="59">
        <v>0</v>
      </c>
      <c r="D6" s="54" t="s">
        <v>127</v>
      </c>
      <c r="F6" s="328"/>
      <c r="G6" s="328"/>
      <c r="H6" s="328"/>
      <c r="I6" s="328"/>
      <c r="J6" s="328"/>
    </row>
    <row r="7" spans="2:10" ht="14.45" hidden="1" customHeight="1" x14ac:dyDescent="0.25">
      <c r="B7" s="19" t="s">
        <v>88</v>
      </c>
      <c r="C7" s="60">
        <f>C6*0.2</f>
        <v>0</v>
      </c>
      <c r="D7" s="21" t="s">
        <v>39</v>
      </c>
      <c r="F7" s="74"/>
      <c r="G7" s="74"/>
      <c r="H7" s="74"/>
      <c r="I7" s="74"/>
      <c r="J7" s="74"/>
    </row>
    <row r="8" spans="2:10" ht="14.45" hidden="1" customHeight="1" x14ac:dyDescent="0.25"/>
    <row r="9" spans="2:10" ht="17.100000000000001" hidden="1" customHeight="1" x14ac:dyDescent="0.25">
      <c r="B9" s="321" t="s">
        <v>120</v>
      </c>
      <c r="C9" s="322"/>
      <c r="D9" s="323"/>
      <c r="F9" s="46" t="s">
        <v>108</v>
      </c>
      <c r="G9" s="78">
        <v>0</v>
      </c>
      <c r="I9" s="331" t="s">
        <v>133</v>
      </c>
      <c r="J9" s="332"/>
    </row>
    <row r="10" spans="2:10" ht="16.5" hidden="1" customHeight="1" x14ac:dyDescent="0.25">
      <c r="B10" s="324"/>
      <c r="C10" s="325"/>
      <c r="D10" s="326"/>
      <c r="I10" s="333"/>
      <c r="J10" s="334"/>
    </row>
    <row r="11" spans="2:10" ht="15" hidden="1" customHeight="1" x14ac:dyDescent="0.25">
      <c r="B11" s="17" t="s">
        <v>87</v>
      </c>
      <c r="C11" s="59">
        <v>0</v>
      </c>
      <c r="D11" s="20" t="s">
        <v>11</v>
      </c>
      <c r="I11" s="29" t="s">
        <v>7</v>
      </c>
      <c r="J11" s="44" t="s">
        <v>19</v>
      </c>
    </row>
    <row r="12" spans="2:10" ht="14.45" hidden="1" customHeight="1" x14ac:dyDescent="0.3">
      <c r="B12" s="15" t="s">
        <v>126</v>
      </c>
      <c r="C12" s="59">
        <f>C6/2</f>
        <v>0</v>
      </c>
      <c r="D12" s="54" t="s">
        <v>127</v>
      </c>
      <c r="H12" s="85" t="s">
        <v>109</v>
      </c>
      <c r="I12" s="48">
        <v>0.23</v>
      </c>
      <c r="J12" s="49">
        <v>0.04</v>
      </c>
    </row>
    <row r="13" spans="2:10" ht="14.45" hidden="1" customHeight="1" x14ac:dyDescent="0.25">
      <c r="B13" s="19" t="s">
        <v>88</v>
      </c>
      <c r="C13" s="60">
        <f>C12*0.2</f>
        <v>0</v>
      </c>
      <c r="D13" s="21" t="s">
        <v>39</v>
      </c>
    </row>
    <row r="14" spans="2:10" ht="14.45" hidden="1" customHeight="1" x14ac:dyDescent="0.25"/>
    <row r="15" spans="2:10" ht="14.45" hidden="1" customHeight="1" x14ac:dyDescent="0.25">
      <c r="B15" s="82" t="s">
        <v>53</v>
      </c>
      <c r="C15" s="83"/>
      <c r="D15" s="84"/>
    </row>
    <row r="16" spans="2:10" ht="14.45" hidden="1" customHeight="1" x14ac:dyDescent="0.25">
      <c r="B16" s="19" t="s">
        <v>107</v>
      </c>
      <c r="C16" s="61">
        <v>18.2</v>
      </c>
      <c r="D16" s="21" t="s">
        <v>10</v>
      </c>
    </row>
    <row r="17" spans="2:20" ht="14.45" hidden="1" customHeight="1" x14ac:dyDescent="0.25"/>
    <row r="18" spans="2:20" ht="14.45" hidden="1" customHeight="1" x14ac:dyDescent="0.25">
      <c r="B18" s="79" t="s">
        <v>84</v>
      </c>
      <c r="C18" s="80"/>
      <c r="D18" s="81"/>
    </row>
    <row r="19" spans="2:20" ht="14.45" hidden="1" customHeight="1" x14ac:dyDescent="0.25">
      <c r="B19" s="15" t="s">
        <v>101</v>
      </c>
      <c r="C19" s="75">
        <v>50</v>
      </c>
      <c r="D19" s="55" t="s">
        <v>118</v>
      </c>
    </row>
    <row r="20" spans="2:20" ht="14.45" hidden="1" customHeight="1" x14ac:dyDescent="0.25">
      <c r="B20" s="15" t="s">
        <v>102</v>
      </c>
      <c r="C20" s="75">
        <v>44.5</v>
      </c>
      <c r="D20" s="55" t="s">
        <v>118</v>
      </c>
      <c r="G20" s="23" t="s">
        <v>25</v>
      </c>
      <c r="H20" s="23" t="s">
        <v>12</v>
      </c>
      <c r="I20" s="23" t="s">
        <v>13</v>
      </c>
      <c r="J20" s="23" t="s">
        <v>14</v>
      </c>
    </row>
    <row r="21" spans="2:20" ht="14.45" hidden="1" customHeight="1" x14ac:dyDescent="0.25">
      <c r="D21" s="54" t="s">
        <v>10</v>
      </c>
      <c r="F21" s="40" t="s">
        <v>173</v>
      </c>
      <c r="G21" s="63">
        <f>'P&amp;L Impact'!G50</f>
        <v>189895.83333333334</v>
      </c>
      <c r="H21" s="63">
        <f>'P&amp;L Impact'!I50</f>
        <v>642760.41666666663</v>
      </c>
      <c r="I21" s="63">
        <f>'P&amp;L Impact'!K50</f>
        <v>1359375</v>
      </c>
      <c r="J21" s="63">
        <f>'P&amp;L Impact'!M50</f>
        <v>2339739.5833333335</v>
      </c>
    </row>
    <row r="22" spans="2:20" ht="14.45" hidden="1" customHeight="1" x14ac:dyDescent="0.25">
      <c r="D22" s="54" t="s">
        <v>10</v>
      </c>
      <c r="F22" s="45" t="s">
        <v>3</v>
      </c>
      <c r="G22" s="63">
        <f>'P&amp;L Impact'!G53</f>
        <v>-54333.333333333343</v>
      </c>
      <c r="H22" s="63">
        <f>'P&amp;L Impact'!I53</f>
        <v>32244.791666666628</v>
      </c>
      <c r="I22" s="63">
        <f>'P&amp;L Impact'!K53</f>
        <v>224296.875</v>
      </c>
      <c r="J22" s="63">
        <f>'P&amp;L Impact'!M53</f>
        <v>561385.41666666698</v>
      </c>
    </row>
    <row r="23" spans="2:20" ht="14.45" hidden="1" customHeight="1" x14ac:dyDescent="0.25">
      <c r="D23" s="16" t="s">
        <v>160</v>
      </c>
      <c r="F23" s="89"/>
      <c r="G23" s="90"/>
      <c r="H23" s="90"/>
      <c r="I23" s="90"/>
      <c r="J23" s="90"/>
    </row>
    <row r="24" spans="2:20" ht="14.45" hidden="1" customHeight="1" x14ac:dyDescent="0.25">
      <c r="L24" s="42"/>
      <c r="N24" s="42"/>
      <c r="P24" s="42"/>
      <c r="Q24" s="42"/>
      <c r="R24" s="43"/>
      <c r="S24" s="43"/>
    </row>
    <row r="25" spans="2:20" ht="14.45" hidden="1" customHeight="1" x14ac:dyDescent="0.25">
      <c r="L25" s="43"/>
      <c r="N25" s="43"/>
      <c r="P25" s="43"/>
      <c r="Q25" s="43"/>
      <c r="R25" s="43"/>
      <c r="S25" s="43"/>
      <c r="T25" s="43"/>
    </row>
    <row r="26" spans="2:20" ht="14.45" hidden="1" customHeight="1" x14ac:dyDescent="0.25">
      <c r="G26" s="56"/>
      <c r="H26" s="57"/>
      <c r="I26" s="58" t="s">
        <v>168</v>
      </c>
      <c r="J26" s="64">
        <f>'Key Variables'!K17</f>
        <v>4634122.4895833321</v>
      </c>
    </row>
    <row r="27" spans="2:20" ht="14.45" hidden="1" customHeight="1" x14ac:dyDescent="0.25"/>
    <row r="28" spans="2:20" ht="14.45" hidden="1" customHeight="1" x14ac:dyDescent="0.25"/>
    <row r="29" spans="2:20" ht="14.45" hidden="1" customHeight="1" x14ac:dyDescent="0.25">
      <c r="B29" s="22" t="s">
        <v>171</v>
      </c>
      <c r="C29" s="42">
        <f>IFERROR(('Key Variables'!C8+(('Key Variables'!C11)*'Key Variables'!K94*12)),0)</f>
        <v>70000</v>
      </c>
    </row>
    <row r="30" spans="2:20" ht="14.45" hidden="1" customHeight="1" x14ac:dyDescent="0.25">
      <c r="B30" s="22" t="s">
        <v>121</v>
      </c>
      <c r="C30" s="42">
        <f>C29</f>
        <v>70000</v>
      </c>
    </row>
    <row r="31" spans="2:20" ht="17.100000000000001" hidden="1" customHeight="1" x14ac:dyDescent="0.25"/>
    <row r="32" spans="2:20" ht="16.5" hidden="1" customHeight="1" x14ac:dyDescent="0.25"/>
    <row r="33" spans="2:10" ht="14.45" hidden="1" customHeight="1" x14ac:dyDescent="0.25"/>
    <row r="34" spans="2:10" ht="14.45" hidden="1" customHeight="1" x14ac:dyDescent="0.25"/>
    <row r="35" spans="2:10" ht="14.45" hidden="1" customHeight="1" x14ac:dyDescent="0.25">
      <c r="E35" s="47"/>
    </row>
    <row r="36" spans="2:10" ht="14.45" hidden="1" customHeight="1" x14ac:dyDescent="0.25">
      <c r="E36" s="26"/>
    </row>
    <row r="37" spans="2:10" ht="14.45" hidden="1" customHeight="1" x14ac:dyDescent="0.25">
      <c r="B37" s="327" t="s">
        <v>92</v>
      </c>
      <c r="C37" s="327"/>
      <c r="D37" s="327"/>
      <c r="E37" s="26"/>
    </row>
    <row r="38" spans="2:10" ht="14.45" hidden="1" customHeight="1" x14ac:dyDescent="0.25">
      <c r="B38" s="86" t="s">
        <v>93</v>
      </c>
      <c r="C38" s="87">
        <v>0</v>
      </c>
      <c r="D38" s="18" t="s">
        <v>9</v>
      </c>
    </row>
    <row r="39" spans="2:10" ht="14.45" hidden="1" customHeight="1" x14ac:dyDescent="0.25">
      <c r="B39" s="88" t="s">
        <v>97</v>
      </c>
      <c r="C39" s="87">
        <v>0</v>
      </c>
      <c r="D39" s="18" t="s">
        <v>9</v>
      </c>
    </row>
    <row r="40" spans="2:10" ht="14.45" hidden="1" customHeight="1" x14ac:dyDescent="0.25"/>
    <row r="41" spans="2:10" ht="16.5" hidden="1" customHeight="1" x14ac:dyDescent="0.3">
      <c r="F41" s="46" t="s">
        <v>131</v>
      </c>
      <c r="G41" s="49">
        <f>G9</f>
        <v>0</v>
      </c>
      <c r="I41" s="69"/>
      <c r="J41" s="69"/>
    </row>
    <row r="42" spans="2:10" ht="14.45" hidden="1" customHeight="1" x14ac:dyDescent="0.25"/>
    <row r="43" spans="2:10" ht="14.45" hidden="1" customHeight="1" x14ac:dyDescent="0.25"/>
  </sheetData>
  <sheetProtection algorithmName="SHA-512" hashValue="dWbFhHMbo5giME6402yq/qO/GVr2bkAbXZQgCie5tJShs8QttyWAVZaqK1OSOK2mZ7VI+aCL5s3GqhKbZr391w==" saltValue="ueFAVfTrkUGIQLMYY6Fy0A==" spinCount="100000" sheet="1" objects="1" scenarios="1"/>
  <mergeCells count="8">
    <mergeCell ref="H6:J6"/>
    <mergeCell ref="F3:F4"/>
    <mergeCell ref="I9:J10"/>
    <mergeCell ref="B2:D2"/>
    <mergeCell ref="B3:D4"/>
    <mergeCell ref="B9:D10"/>
    <mergeCell ref="B37:D37"/>
    <mergeCell ref="F6:G6"/>
  </mergeCells>
  <pageMargins left="0.7" right="0.7" top="0.75" bottom="0.75" header="0.3" footer="0.3"/>
  <pageSetup orientation="portrait" r:id="rId1"/>
  <ignoredErrors>
    <ignoredError sqref="C12"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R131"/>
  <sheetViews>
    <sheetView showGridLines="0" zoomScale="80" zoomScaleNormal="80" workbookViewId="0">
      <pane xSplit="4" ySplit="2" topLeftCell="G3" activePane="bottomRight" state="frozen"/>
      <selection pane="topRight" activeCell="C1" sqref="C1"/>
      <selection pane="bottomLeft" activeCell="A3" sqref="A3"/>
      <selection pane="bottomRight"/>
    </sheetView>
  </sheetViews>
  <sheetFormatPr defaultColWidth="9.125" defaultRowHeight="14.25" x14ac:dyDescent="0.25"/>
  <cols>
    <col min="1" max="1" width="9.125" style="97"/>
    <col min="2" max="3" width="5" style="97" customWidth="1"/>
    <col min="4" max="4" width="55.875" style="97" customWidth="1"/>
    <col min="5" max="5" width="16.75" style="97" hidden="1" customWidth="1"/>
    <col min="6" max="6" width="9.125" style="97" hidden="1" customWidth="1"/>
    <col min="7" max="7" width="16.75" style="97" customWidth="1"/>
    <col min="8" max="8" width="9.125" style="97"/>
    <col min="9" max="9" width="16.75" style="97" customWidth="1"/>
    <col min="10" max="10" width="9.125" style="97"/>
    <col min="11" max="11" width="16.75" style="97" customWidth="1"/>
    <col min="12" max="12" width="11.25" style="97" bestFit="1" customWidth="1"/>
    <col min="13" max="13" width="16.75" style="97" customWidth="1"/>
    <col min="14" max="14" width="11" style="97" customWidth="1"/>
    <col min="15" max="15" width="5.375" style="97" customWidth="1"/>
    <col min="16" max="16" width="12" style="97" bestFit="1" customWidth="1"/>
    <col min="17" max="17" width="11" style="129" bestFit="1" customWidth="1"/>
    <col min="18" max="18" width="35.25" style="97" customWidth="1"/>
    <col min="19" max="16384" width="9.125" style="97"/>
  </cols>
  <sheetData>
    <row r="1" spans="1:17" ht="25.5" customHeight="1" x14ac:dyDescent="0.25">
      <c r="E1" s="336" t="s">
        <v>20</v>
      </c>
      <c r="F1" s="336"/>
      <c r="G1" s="336" t="s">
        <v>7</v>
      </c>
      <c r="H1" s="336"/>
      <c r="I1" s="336" t="s">
        <v>4</v>
      </c>
      <c r="J1" s="336"/>
      <c r="K1" s="336" t="s">
        <v>5</v>
      </c>
      <c r="L1" s="336"/>
      <c r="M1" s="336" t="s">
        <v>6</v>
      </c>
      <c r="N1" s="336"/>
      <c r="Q1" s="97"/>
    </row>
    <row r="2" spans="1:17" ht="28.5" x14ac:dyDescent="0.25">
      <c r="E2" s="163"/>
      <c r="F2" s="164" t="s">
        <v>8</v>
      </c>
      <c r="G2" s="143"/>
      <c r="H2" s="164" t="s">
        <v>8</v>
      </c>
      <c r="I2" s="143"/>
      <c r="J2" s="164" t="s">
        <v>8</v>
      </c>
      <c r="K2" s="143"/>
      <c r="L2" s="164" t="s">
        <v>8</v>
      </c>
      <c r="M2" s="143"/>
      <c r="N2" s="164" t="s">
        <v>8</v>
      </c>
      <c r="Q2" s="97"/>
    </row>
    <row r="3" spans="1:17" x14ac:dyDescent="0.25">
      <c r="A3" s="335" t="s">
        <v>173</v>
      </c>
      <c r="B3" s="97" t="s">
        <v>104</v>
      </c>
      <c r="Q3" s="97"/>
    </row>
    <row r="4" spans="1:17" x14ac:dyDescent="0.25">
      <c r="A4" s="335"/>
      <c r="C4" s="97" t="s">
        <v>155</v>
      </c>
      <c r="E4" s="240">
        <v>0</v>
      </c>
      <c r="F4" s="152">
        <f>IFERROR(E4/$E$50,0)</f>
        <v>0</v>
      </c>
      <c r="G4" s="144">
        <f>FV('"Fine Tune" Variables'!$C$38,1,,-$E4)+'Core Calculations'!B60</f>
        <v>13541.666666666668</v>
      </c>
      <c r="H4" s="152">
        <f>IFERROR(G4/$G$50,0)</f>
        <v>7.1311025781678555E-2</v>
      </c>
      <c r="I4" s="144">
        <f>FV('"Fine Tune" Variables'!$C$38,2,,-$E4)+'Core Calculations'!C60</f>
        <v>52083.333333333336</v>
      </c>
      <c r="J4" s="152">
        <f>IFERROR(I4/$I$50,0)</f>
        <v>8.1030710639332315E-2</v>
      </c>
      <c r="K4" s="144">
        <f>FV('"Fine Tune" Variables'!$C$38,3,,-$E4)+'Core Calculations'!D60</f>
        <v>115625.00000000001</v>
      </c>
      <c r="L4" s="152">
        <f>IFERROR(K4/$K$50,0)</f>
        <v>8.5057471264367829E-2</v>
      </c>
      <c r="M4" s="144">
        <f>FV('"Fine Tune" Variables'!$C$38,4,,-$E4)+'Core Calculations'!E60</f>
        <v>204166.66666666663</v>
      </c>
      <c r="N4" s="152">
        <f>IFERROR(M4/$M$50,0)</f>
        <v>8.7260423391135919E-2</v>
      </c>
      <c r="Q4" s="97"/>
    </row>
    <row r="5" spans="1:17" s="98" customFormat="1" x14ac:dyDescent="0.25">
      <c r="A5" s="335"/>
      <c r="C5" s="165" t="s">
        <v>75</v>
      </c>
      <c r="E5" s="241">
        <v>0</v>
      </c>
      <c r="F5" s="152">
        <f>IFERROR(E5/$E$50,0)</f>
        <v>0</v>
      </c>
      <c r="G5" s="166">
        <f>FV('"Fine Tune" Variables'!$C$38,1,,-$E5)+'Core Calculations'!B57</f>
        <v>3385.416666666667</v>
      </c>
      <c r="H5" s="152">
        <f>IFERROR(G5/$G$50,0)</f>
        <v>1.7827756445419639E-2</v>
      </c>
      <c r="I5" s="166">
        <f>FV('"Fine Tune" Variables'!$C$38,2,,-$E5)+'Core Calculations'!C57</f>
        <v>13020.833333333334</v>
      </c>
      <c r="J5" s="152">
        <f>IFERROR(I5/$I$50,0)</f>
        <v>2.0257677659833079E-2</v>
      </c>
      <c r="K5" s="166">
        <f>FV('"Fine Tune" Variables'!$C$38,3,,-$E5)+'Core Calculations'!D57</f>
        <v>28906.250000000004</v>
      </c>
      <c r="L5" s="152">
        <f>IFERROR(K5/$K$50,0)</f>
        <v>2.1264367816091957E-2</v>
      </c>
      <c r="M5" s="166">
        <f>FV('"Fine Tune" Variables'!$C$38,4,,-$E5)+'Core Calculations'!E57</f>
        <v>51041.666666666657</v>
      </c>
      <c r="N5" s="152">
        <f>IFERROR(M5/$M$50,0)</f>
        <v>2.181510584778398E-2</v>
      </c>
    </row>
    <row r="6" spans="1:17" hidden="1" x14ac:dyDescent="0.25">
      <c r="A6" s="335"/>
      <c r="C6" s="97" t="s">
        <v>77</v>
      </c>
      <c r="E6" s="240">
        <v>0</v>
      </c>
      <c r="F6" s="152">
        <f>IFERROR(E6/$E$50,0)</f>
        <v>0</v>
      </c>
      <c r="G6" s="167">
        <f>FV('"Fine Tune" Variables'!$C$38,1,,-$E6)</f>
        <v>0</v>
      </c>
      <c r="H6" s="152">
        <f>IFERROR(G6/$G$50,0)</f>
        <v>0</v>
      </c>
      <c r="I6" s="167">
        <f>FV('"Fine Tune" Variables'!$C$38,2,,-$E6)</f>
        <v>0</v>
      </c>
      <c r="J6" s="152">
        <f>IFERROR(I6/$I$50,0)</f>
        <v>0</v>
      </c>
      <c r="K6" s="167">
        <f>FV('"Fine Tune" Variables'!$C$38,3,,-$E6)</f>
        <v>0</v>
      </c>
      <c r="L6" s="152">
        <f>IFERROR(K6/$K$50,0)</f>
        <v>0</v>
      </c>
      <c r="M6" s="167">
        <f>FV('"Fine Tune" Variables'!$C$38,4,,-$E6)</f>
        <v>0</v>
      </c>
      <c r="N6" s="152">
        <f>IFERROR(M6/$M$50,0)</f>
        <v>0</v>
      </c>
      <c r="Q6" s="97"/>
    </row>
    <row r="7" spans="1:17" hidden="1" x14ac:dyDescent="0.25">
      <c r="A7" s="335"/>
      <c r="C7" s="97" t="s">
        <v>34</v>
      </c>
      <c r="E7" s="168" t="s">
        <v>21</v>
      </c>
      <c r="F7" s="169"/>
      <c r="G7" s="170">
        <f>SUM('O365 Calculations'!B44:B45)</f>
        <v>0</v>
      </c>
      <c r="H7" s="152">
        <f>IFERROR(G7/$G$50,0)</f>
        <v>0</v>
      </c>
      <c r="I7" s="170">
        <f>SUM('O365 Calculations'!C44:C45)</f>
        <v>0</v>
      </c>
      <c r="J7" s="152">
        <f>IFERROR(I7/$I$50,0)</f>
        <v>0</v>
      </c>
      <c r="K7" s="170">
        <f>SUM('O365 Calculations'!D44:D45)</f>
        <v>0</v>
      </c>
      <c r="L7" s="152">
        <f>IFERROR(K7/$K$50,0)</f>
        <v>0</v>
      </c>
      <c r="M7" s="170">
        <f>SUM('O365 Calculations'!E44:E45)</f>
        <v>0</v>
      </c>
      <c r="N7" s="152">
        <f>IFERROR(M7/$M$50,0)</f>
        <v>0</v>
      </c>
      <c r="Q7" s="97"/>
    </row>
    <row r="8" spans="1:17" x14ac:dyDescent="0.25">
      <c r="A8" s="335"/>
      <c r="D8" s="143" t="s">
        <v>42</v>
      </c>
      <c r="E8" s="171">
        <f>SUM(E4:E7)</f>
        <v>0</v>
      </c>
      <c r="F8" s="152">
        <f>IFERROR(E8/$E$50,0)</f>
        <v>0</v>
      </c>
      <c r="G8" s="172">
        <f>SUM(G4:G7)</f>
        <v>16927.083333333336</v>
      </c>
      <c r="H8" s="152">
        <f>IFERROR(G8/$G$50,0)</f>
        <v>8.9138782227098201E-2</v>
      </c>
      <c r="I8" s="172">
        <f>SUM(I4:I7)</f>
        <v>65104.166666666672</v>
      </c>
      <c r="J8" s="152">
        <f>IFERROR(I8/$I$50,0)</f>
        <v>0.10128838829916539</v>
      </c>
      <c r="K8" s="172">
        <f>SUM(K4:K7)</f>
        <v>144531.25000000003</v>
      </c>
      <c r="L8" s="152">
        <f>IFERROR(K8/$K$50,0)</f>
        <v>0.10632183908045979</v>
      </c>
      <c r="M8" s="172">
        <f>SUM(M4:M7)</f>
        <v>255208.33333333328</v>
      </c>
      <c r="N8" s="152">
        <f>IFERROR(M8/$M$50,0)</f>
        <v>0.1090755292389199</v>
      </c>
      <c r="Q8" s="97"/>
    </row>
    <row r="9" spans="1:17" x14ac:dyDescent="0.25">
      <c r="A9" s="335"/>
      <c r="B9" s="97" t="s">
        <v>103</v>
      </c>
      <c r="C9" s="137"/>
      <c r="E9" s="173"/>
      <c r="F9" s="152"/>
      <c r="G9" s="144"/>
      <c r="H9" s="152"/>
      <c r="I9" s="145"/>
      <c r="J9" s="152"/>
      <c r="K9" s="145"/>
      <c r="L9" s="152"/>
      <c r="M9" s="145"/>
      <c r="N9" s="152"/>
      <c r="Q9" s="97"/>
    </row>
    <row r="10" spans="1:17" x14ac:dyDescent="0.25">
      <c r="A10" s="335"/>
      <c r="C10" s="97" t="s">
        <v>169</v>
      </c>
      <c r="E10" s="240">
        <v>0</v>
      </c>
      <c r="F10" s="152">
        <f>IFERROR(E10/$E$50,0)</f>
        <v>0</v>
      </c>
      <c r="G10" s="144">
        <f>FV('"Fine Tune" Variables'!$C$38,1,,-$E10)+'Core Calculations'!B56+'Core Calculations'!B59</f>
        <v>51093.749999999993</v>
      </c>
      <c r="H10" s="152">
        <f>IFERROR(G10/$G$50,0)</f>
        <v>0.26906198573779477</v>
      </c>
      <c r="I10" s="144">
        <f>FV('"Fine Tune" Variables'!$C$38,2,,-$E10)+'Core Calculations'!C56+'Core Calculations'!C59</f>
        <v>108906.24999999999</v>
      </c>
      <c r="J10" s="152">
        <f>IFERROR(I10/$I$50,0)</f>
        <v>0.16943521594684385</v>
      </c>
      <c r="K10" s="144">
        <f>FV('"Fine Tune" Variables'!$C$38,3,,-$E10)+'Core Calculations'!D56+'Core Calculations'!D59</f>
        <v>174218.75</v>
      </c>
      <c r="L10" s="152">
        <f>IFERROR(K10/$K$50,0)</f>
        <v>0.12816091954022987</v>
      </c>
      <c r="M10" s="144">
        <f>FV('"Fine Tune" Variables'!$C$38,4,,-$E10)+'Core Calculations'!E56+'Core Calculations'!E59</f>
        <v>247031.24999999997</v>
      </c>
      <c r="N10" s="152">
        <f>IFERROR(M10/$M$50,0)</f>
        <v>0.10558066024085656</v>
      </c>
      <c r="Q10" s="97"/>
    </row>
    <row r="11" spans="1:17" x14ac:dyDescent="0.25">
      <c r="A11" s="335"/>
      <c r="C11" s="97" t="s">
        <v>82</v>
      </c>
      <c r="E11" s="240">
        <v>0</v>
      </c>
      <c r="F11" s="152">
        <f>IFERROR(E11/$E$50,0)</f>
        <v>0</v>
      </c>
      <c r="G11" s="170">
        <f>FV('"Fine Tune" Variables'!$C$38,1,,-$E11)+'Core Calculations'!B58</f>
        <v>121875</v>
      </c>
      <c r="H11" s="152">
        <f>IFERROR(G11/$G$50,0)</f>
        <v>0.64179923203510691</v>
      </c>
      <c r="I11" s="170">
        <f>FV('"Fine Tune" Variables'!$C$38,2,,-$E11)+'Core Calculations'!C58</f>
        <v>468750</v>
      </c>
      <c r="J11" s="152">
        <f>IFERROR(I11/$I$50,0)</f>
        <v>0.72927639575399084</v>
      </c>
      <c r="K11" s="170">
        <f>FV('"Fine Tune" Variables'!$C$38,3,,-$E11)+'Core Calculations'!D58</f>
        <v>1040625.0000000001</v>
      </c>
      <c r="L11" s="152">
        <f>IFERROR(K11/$K$50,0)</f>
        <v>0.76551724137931043</v>
      </c>
      <c r="M11" s="170">
        <f>FV('"Fine Tune" Variables'!$C$38,4,,-$E11)+'Core Calculations'!E58</f>
        <v>1837500</v>
      </c>
      <c r="N11" s="152">
        <f>IFERROR(M11/$M$50,0)</f>
        <v>0.7853438105202234</v>
      </c>
      <c r="Q11" s="97"/>
    </row>
    <row r="12" spans="1:17" hidden="1" x14ac:dyDescent="0.25">
      <c r="A12" s="335"/>
      <c r="C12" s="122" t="s">
        <v>47</v>
      </c>
      <c r="E12" s="168" t="s">
        <v>21</v>
      </c>
      <c r="F12" s="152"/>
      <c r="G12" s="170">
        <f>'Core Calculations'!B54</f>
        <v>0</v>
      </c>
      <c r="H12" s="152">
        <f>IFERROR(G12/$G$50,0)</f>
        <v>0</v>
      </c>
      <c r="I12" s="170">
        <f>'Core Calculations'!C54</f>
        <v>0</v>
      </c>
      <c r="J12" s="152">
        <f>IFERROR(I12/$I$50,0)</f>
        <v>0</v>
      </c>
      <c r="K12" s="170">
        <f>'Core Calculations'!D54</f>
        <v>0</v>
      </c>
      <c r="L12" s="152">
        <f>IFERROR(K12/$K$50,0)</f>
        <v>0</v>
      </c>
      <c r="M12" s="170">
        <f>'Core Calculations'!E54</f>
        <v>0</v>
      </c>
      <c r="N12" s="152">
        <f>IFERROR(M12/$M$50,0)</f>
        <v>0</v>
      </c>
      <c r="Q12" s="97"/>
    </row>
    <row r="13" spans="1:17" x14ac:dyDescent="0.25">
      <c r="A13" s="335"/>
      <c r="D13" s="143" t="s">
        <v>42</v>
      </c>
      <c r="E13" s="174">
        <f>SUM(E10:E12)</f>
        <v>0</v>
      </c>
      <c r="F13" s="152">
        <f>IFERROR(E13/$E$50,0)</f>
        <v>0</v>
      </c>
      <c r="G13" s="175">
        <f>SUM(G10:G12)</f>
        <v>172968.75</v>
      </c>
      <c r="H13" s="152">
        <f>IFERROR(G13/$G$50,0)</f>
        <v>0.91086121777290174</v>
      </c>
      <c r="I13" s="175">
        <f>SUM(I10:I12)</f>
        <v>577656.25</v>
      </c>
      <c r="J13" s="152">
        <f>IFERROR(I13/$I$50,0)</f>
        <v>0.89871161170083469</v>
      </c>
      <c r="K13" s="175">
        <f>SUM(K10:K12)</f>
        <v>1214843.75</v>
      </c>
      <c r="L13" s="152">
        <f>IFERROR(K13/$K$50,0)</f>
        <v>0.89367816091954022</v>
      </c>
      <c r="M13" s="175">
        <f>SUM(M10:M12)</f>
        <v>2084531.25</v>
      </c>
      <c r="N13" s="152">
        <f>IFERROR(M13/$M$50,0)</f>
        <v>0.89092447076108006</v>
      </c>
      <c r="Q13" s="97"/>
    </row>
    <row r="14" spans="1:17" hidden="1" x14ac:dyDescent="0.25">
      <c r="A14" s="335"/>
      <c r="E14" s="176"/>
      <c r="F14" s="152"/>
      <c r="G14" s="145"/>
      <c r="H14" s="152"/>
      <c r="I14" s="145"/>
      <c r="J14" s="152"/>
      <c r="K14" s="145"/>
      <c r="L14" s="152"/>
      <c r="M14" s="145"/>
      <c r="N14" s="152"/>
      <c r="Q14" s="97"/>
    </row>
    <row r="15" spans="1:17" hidden="1" x14ac:dyDescent="0.25">
      <c r="A15" s="335"/>
      <c r="D15" s="143" t="s">
        <v>94</v>
      </c>
      <c r="E15" s="242">
        <v>0</v>
      </c>
      <c r="F15" s="152"/>
      <c r="H15" s="152"/>
      <c r="I15" s="145"/>
      <c r="J15" s="152"/>
      <c r="K15" s="145"/>
      <c r="L15" s="152"/>
      <c r="M15" s="145"/>
      <c r="N15" s="152"/>
      <c r="Q15" s="97"/>
    </row>
    <row r="16" spans="1:17" hidden="1" x14ac:dyDescent="0.25">
      <c r="A16" s="335"/>
      <c r="D16" s="143" t="s">
        <v>95</v>
      </c>
      <c r="E16" s="242">
        <v>0</v>
      </c>
      <c r="F16" s="152"/>
      <c r="G16" s="177"/>
      <c r="H16" s="152"/>
      <c r="I16" s="177"/>
      <c r="J16" s="152"/>
      <c r="K16" s="177"/>
      <c r="L16" s="152"/>
      <c r="M16" s="177"/>
      <c r="N16" s="152"/>
      <c r="Q16" s="97"/>
    </row>
    <row r="17" spans="1:17" hidden="1" x14ac:dyDescent="0.25">
      <c r="A17" s="335"/>
      <c r="D17" s="143" t="s">
        <v>96</v>
      </c>
      <c r="E17" s="243">
        <v>0</v>
      </c>
      <c r="F17" s="152"/>
      <c r="G17" s="177"/>
      <c r="H17" s="152"/>
      <c r="I17" s="177"/>
      <c r="J17" s="152"/>
      <c r="K17" s="177"/>
      <c r="L17" s="152"/>
      <c r="M17" s="177"/>
      <c r="N17" s="152"/>
      <c r="Q17" s="97"/>
    </row>
    <row r="18" spans="1:17" hidden="1" x14ac:dyDescent="0.25">
      <c r="A18" s="335"/>
      <c r="D18" s="143" t="s">
        <v>56</v>
      </c>
      <c r="E18" s="178">
        <f>IFERROR(E17/E16,0)</f>
        <v>0</v>
      </c>
      <c r="F18" s="169" t="s">
        <v>52</v>
      </c>
      <c r="G18" s="178"/>
      <c r="H18" s="152"/>
      <c r="I18" s="178"/>
      <c r="J18" s="152"/>
      <c r="K18" s="178"/>
      <c r="L18" s="152"/>
      <c r="M18" s="178"/>
      <c r="N18" s="152"/>
      <c r="Q18" s="97"/>
    </row>
    <row r="19" spans="1:17" hidden="1" x14ac:dyDescent="0.25">
      <c r="A19" s="335"/>
      <c r="D19" s="143"/>
      <c r="E19" s="178"/>
      <c r="F19" s="169"/>
      <c r="G19" s="178"/>
      <c r="H19" s="152"/>
      <c r="I19" s="178"/>
      <c r="J19" s="152"/>
      <c r="K19" s="178"/>
      <c r="L19" s="152"/>
      <c r="M19" s="178"/>
      <c r="N19" s="152"/>
      <c r="Q19" s="97"/>
    </row>
    <row r="20" spans="1:17" hidden="1" x14ac:dyDescent="0.25">
      <c r="A20" s="335"/>
      <c r="B20" s="97" t="s">
        <v>70</v>
      </c>
      <c r="E20" s="143"/>
      <c r="F20" s="164"/>
      <c r="G20" s="143"/>
      <c r="H20" s="164"/>
      <c r="I20" s="143"/>
      <c r="J20" s="164"/>
      <c r="K20" s="143"/>
      <c r="L20" s="164"/>
      <c r="M20" s="143"/>
      <c r="N20" s="164"/>
      <c r="Q20" s="97"/>
    </row>
    <row r="21" spans="1:17" hidden="1" x14ac:dyDescent="0.25">
      <c r="A21" s="335"/>
      <c r="C21" s="97" t="s">
        <v>78</v>
      </c>
      <c r="E21" s="244">
        <v>0</v>
      </c>
      <c r="F21" s="152">
        <f>IFERROR(E21/$E$50,0)</f>
        <v>0</v>
      </c>
      <c r="G21" s="139">
        <f>FV('"Fine Tune" Variables'!$C$39,1,,-$E21)</f>
        <v>0</v>
      </c>
      <c r="H21" s="152">
        <f>IFERROR(G21/$G$50,0)</f>
        <v>0</v>
      </c>
      <c r="I21" s="139">
        <f>FV('"Fine Tune" Variables'!$C$39,2,,-$E21)</f>
        <v>0</v>
      </c>
      <c r="J21" s="152">
        <f>IFERROR(I21/$I$50,0)</f>
        <v>0</v>
      </c>
      <c r="K21" s="139">
        <f>FV('"Fine Tune" Variables'!$C$39,3,,-$E21)</f>
        <v>0</v>
      </c>
      <c r="L21" s="152">
        <f>IFERROR(K21/$K$50,0)</f>
        <v>0</v>
      </c>
      <c r="M21" s="139">
        <f>FV('"Fine Tune" Variables'!$C$39,4,,-$E21)</f>
        <v>0</v>
      </c>
      <c r="N21" s="152">
        <f>IFERROR(M21/$M$50,0)</f>
        <v>0</v>
      </c>
      <c r="Q21" s="97"/>
    </row>
    <row r="22" spans="1:17" x14ac:dyDescent="0.25">
      <c r="E22" s="145"/>
      <c r="F22" s="179"/>
      <c r="G22" s="145"/>
      <c r="H22" s="179"/>
      <c r="I22" s="145"/>
      <c r="J22" s="179"/>
      <c r="K22" s="145"/>
      <c r="L22" s="179"/>
      <c r="M22" s="145"/>
      <c r="N22" s="179"/>
    </row>
    <row r="23" spans="1:17" hidden="1" x14ac:dyDescent="0.25">
      <c r="A23" s="335" t="s">
        <v>43</v>
      </c>
      <c r="D23" s="143"/>
      <c r="E23" s="180"/>
      <c r="F23" s="152"/>
      <c r="G23" s="181"/>
      <c r="H23" s="152"/>
      <c r="I23" s="182"/>
      <c r="J23" s="152"/>
      <c r="K23" s="182"/>
      <c r="L23" s="152"/>
      <c r="M23" s="182"/>
      <c r="N23" s="152"/>
      <c r="Q23" s="97"/>
    </row>
    <row r="24" spans="1:17" x14ac:dyDescent="0.25">
      <c r="A24" s="335"/>
      <c r="B24" s="97" t="s">
        <v>104</v>
      </c>
      <c r="E24" s="143"/>
      <c r="F24" s="164"/>
      <c r="G24" s="183"/>
      <c r="H24" s="164"/>
      <c r="I24" s="143"/>
      <c r="J24" s="164"/>
      <c r="K24" s="143"/>
      <c r="L24" s="164"/>
      <c r="M24" s="143"/>
      <c r="N24" s="164"/>
      <c r="Q24" s="97"/>
    </row>
    <row r="25" spans="1:17" x14ac:dyDescent="0.25">
      <c r="A25" s="335"/>
      <c r="C25" s="97" t="s">
        <v>155</v>
      </c>
      <c r="E25" s="240">
        <v>0</v>
      </c>
      <c r="G25" s="167">
        <f>'Core Calculations'!B66</f>
        <v>10833.333333333332</v>
      </c>
      <c r="H25" s="152">
        <f>IFERROR(G25/$G$50,0)</f>
        <v>5.7048820625342833E-2</v>
      </c>
      <c r="I25" s="167">
        <f>'Core Calculations'!C66</f>
        <v>41666.666666666672</v>
      </c>
      <c r="J25" s="152">
        <f>IFERROR(I25/$I$50,0)</f>
        <v>6.4824568511465855E-2</v>
      </c>
      <c r="K25" s="167">
        <f>'Core Calculations'!D66</f>
        <v>92500</v>
      </c>
      <c r="L25" s="152">
        <f>IFERROR(K25/$K$50,0)</f>
        <v>6.8045977011494257E-2</v>
      </c>
      <c r="M25" s="167">
        <f>'Core Calculations'!E66</f>
        <v>163333.33333333331</v>
      </c>
      <c r="N25" s="152">
        <f>IFERROR(M25/$M$50,0)</f>
        <v>6.9808338712908743E-2</v>
      </c>
      <c r="Q25" s="97"/>
    </row>
    <row r="26" spans="1:17" x14ac:dyDescent="0.25">
      <c r="A26" s="335"/>
      <c r="C26" s="137" t="s">
        <v>75</v>
      </c>
      <c r="E26" s="240">
        <v>0</v>
      </c>
      <c r="F26" s="152"/>
      <c r="G26" s="184">
        <f>'Core Calculations'!B63</f>
        <v>1184.8958333333333</v>
      </c>
      <c r="H26" s="152">
        <f>IFERROR(G26/$G$50,0)</f>
        <v>6.2397147558968724E-3</v>
      </c>
      <c r="I26" s="184">
        <f>'Core Calculations'!C63</f>
        <v>4557.2916666666661</v>
      </c>
      <c r="J26" s="152">
        <f>IFERROR(I26/$I$50,0)</f>
        <v>7.0901871809415764E-3</v>
      </c>
      <c r="K26" s="184">
        <f>'Core Calculations'!D63</f>
        <v>10117.1875</v>
      </c>
      <c r="L26" s="152">
        <f>IFERROR(K26/$K$50,0)</f>
        <v>7.442528735632184E-3</v>
      </c>
      <c r="M26" s="184">
        <f>'Core Calculations'!E63</f>
        <v>17864.583333333328</v>
      </c>
      <c r="N26" s="152">
        <f>IFERROR(M26/$M$50,0)</f>
        <v>7.6352870467243927E-3</v>
      </c>
      <c r="Q26" s="97"/>
    </row>
    <row r="27" spans="1:17" hidden="1" x14ac:dyDescent="0.25">
      <c r="A27" s="335"/>
      <c r="C27" s="97" t="s">
        <v>77</v>
      </c>
      <c r="E27" s="245">
        <v>0</v>
      </c>
      <c r="F27" s="152"/>
      <c r="G27" s="184">
        <f>(1-IF($E$81&gt;0,$E$81,$E$70))*G6</f>
        <v>0</v>
      </c>
      <c r="H27" s="152">
        <f>IFERROR(G27/$G$50,0)</f>
        <v>0</v>
      </c>
      <c r="I27" s="184">
        <f>(1-IF($E$81&gt;0,$E$81,$E$70))*I6</f>
        <v>0</v>
      </c>
      <c r="J27" s="152">
        <f>IFERROR(I27/$I$50,0)</f>
        <v>0</v>
      </c>
      <c r="K27" s="184">
        <f>(1-IF($E$81&gt;0,$E$81,$E$70))*K6</f>
        <v>0</v>
      </c>
      <c r="L27" s="152">
        <f>IFERROR(K27/$K$50,0)</f>
        <v>0</v>
      </c>
      <c r="M27" s="184">
        <f>(1-IF($E$81&gt;0,$E$81,$E$70))*M6</f>
        <v>0</v>
      </c>
      <c r="N27" s="152">
        <f>IFERROR(M27/$M$50,0)</f>
        <v>0</v>
      </c>
      <c r="Q27" s="97"/>
    </row>
    <row r="28" spans="1:17" x14ac:dyDescent="0.25">
      <c r="A28" s="335"/>
      <c r="D28" s="143" t="s">
        <v>42</v>
      </c>
      <c r="E28" s="185">
        <f>SUM(E25:E27)</f>
        <v>0</v>
      </c>
      <c r="F28" s="164"/>
      <c r="G28" s="186">
        <f>SUM(G25:G27)</f>
        <v>12018.229166666666</v>
      </c>
      <c r="H28" s="152">
        <f>IFERROR(G28/$G$50,0)</f>
        <v>6.3288535381239713E-2</v>
      </c>
      <c r="I28" s="186">
        <f>SUM(I25:I27)</f>
        <v>46223.958333333336</v>
      </c>
      <c r="J28" s="152">
        <f>IFERROR(I28/$I$50,0)</f>
        <v>7.1914755692407434E-2</v>
      </c>
      <c r="K28" s="186">
        <f>SUM(K25:K27)</f>
        <v>102617.1875</v>
      </c>
      <c r="L28" s="152">
        <f>IFERROR(K28/$K$50,0)</f>
        <v>7.5488505747126441E-2</v>
      </c>
      <c r="M28" s="186">
        <f>SUM(M25:M27)</f>
        <v>181197.91666666663</v>
      </c>
      <c r="N28" s="152">
        <f>IFERROR(M28/$M$50,0)</f>
        <v>7.7443625759633122E-2</v>
      </c>
      <c r="Q28" s="97"/>
    </row>
    <row r="29" spans="1:17" x14ac:dyDescent="0.25">
      <c r="A29" s="335"/>
      <c r="B29" s="97" t="s">
        <v>103</v>
      </c>
      <c r="E29" s="187"/>
      <c r="F29" s="164"/>
      <c r="G29" s="143"/>
      <c r="H29" s="164"/>
      <c r="I29" s="185"/>
      <c r="J29" s="164"/>
      <c r="K29" s="143"/>
      <c r="L29" s="164"/>
      <c r="M29" s="143"/>
      <c r="N29" s="164"/>
      <c r="Q29" s="97"/>
    </row>
    <row r="30" spans="1:17" x14ac:dyDescent="0.25">
      <c r="A30" s="335"/>
      <c r="C30" s="97" t="s">
        <v>169</v>
      </c>
      <c r="E30" s="246">
        <v>0</v>
      </c>
      <c r="F30" s="152">
        <f>IFERROR(E30/$E$50,0)</f>
        <v>0</v>
      </c>
      <c r="G30" s="186">
        <f>'Core Calculations'!B62+'Core Calculations'!B65</f>
        <v>33210.9375</v>
      </c>
      <c r="H30" s="152">
        <f>IFERROR(G30/$G$50,0)</f>
        <v>0.17489029072956663</v>
      </c>
      <c r="I30" s="186">
        <f>'Core Calculations'!C62+'Core Calculations'!C65</f>
        <v>70789.0625</v>
      </c>
      <c r="J30" s="152">
        <f>IFERROR(I30/$I$50,0)</f>
        <v>0.11013289036544852</v>
      </c>
      <c r="K30" s="186">
        <f>'Core Calculations'!D62+'Core Calculations'!D65</f>
        <v>113242.1875</v>
      </c>
      <c r="L30" s="152">
        <f>IFERROR(K30/$K$50,0)</f>
        <v>8.3304597701149424E-2</v>
      </c>
      <c r="M30" s="186">
        <f>'Core Calculations'!E62+'Core Calculations'!E65</f>
        <v>160570.3125</v>
      </c>
      <c r="N30" s="152">
        <f>IFERROR(M30/$M$50,0)</f>
        <v>6.8627429156556771E-2</v>
      </c>
      <c r="P30" s="188"/>
      <c r="Q30" s="97"/>
    </row>
    <row r="31" spans="1:17" s="98" customFormat="1" x14ac:dyDescent="0.25">
      <c r="A31" s="335"/>
      <c r="C31" s="98" t="s">
        <v>82</v>
      </c>
      <c r="E31" s="247">
        <v>0</v>
      </c>
      <c r="F31" s="152">
        <f>IFERROR(E31/$E$50,0)</f>
        <v>0</v>
      </c>
      <c r="G31" s="189">
        <f>'Core Calculations'!B64</f>
        <v>67031.25</v>
      </c>
      <c r="H31" s="152">
        <f>IFERROR(G31/$G$50,0)</f>
        <v>0.35298957761930883</v>
      </c>
      <c r="I31" s="189">
        <f>'Core Calculations'!C64</f>
        <v>257812.5</v>
      </c>
      <c r="J31" s="152">
        <f>IFERROR(I31/$I$50,0)</f>
        <v>0.40110201766469494</v>
      </c>
      <c r="K31" s="189">
        <f>'Core Calculations'!D64</f>
        <v>572343.75000000012</v>
      </c>
      <c r="L31" s="152">
        <f>IFERROR(K31/$K$50,0)</f>
        <v>0.42103448275862076</v>
      </c>
      <c r="M31" s="189">
        <f>'Core Calculations'!E64</f>
        <v>1010625</v>
      </c>
      <c r="N31" s="152">
        <f>IFERROR(M31/$M$50,0)</f>
        <v>0.43193909578612288</v>
      </c>
      <c r="P31" s="190"/>
    </row>
    <row r="32" spans="1:17" hidden="1" x14ac:dyDescent="0.25">
      <c r="A32" s="335"/>
      <c r="C32" s="122" t="s">
        <v>48</v>
      </c>
      <c r="E32" s="109" t="s">
        <v>21</v>
      </c>
      <c r="F32" s="152"/>
      <c r="G32" s="184">
        <f>'Core Calculations'!B68</f>
        <v>0</v>
      </c>
      <c r="H32" s="152">
        <f>IFERROR(G32/$G$50,0)</f>
        <v>0</v>
      </c>
      <c r="I32" s="184">
        <f>'Core Calculations'!C68</f>
        <v>0</v>
      </c>
      <c r="J32" s="152">
        <f>IFERROR(I32/$I$50,0)</f>
        <v>0</v>
      </c>
      <c r="K32" s="184">
        <f>'Core Calculations'!D68</f>
        <v>0</v>
      </c>
      <c r="L32" s="152">
        <f>IFERROR(K32/$K$50,0)</f>
        <v>0</v>
      </c>
      <c r="M32" s="184">
        <f>'Core Calculations'!E68</f>
        <v>0</v>
      </c>
      <c r="N32" s="152">
        <f>IFERROR(M32/$M$50,0)</f>
        <v>0</v>
      </c>
      <c r="Q32" s="97"/>
    </row>
    <row r="33" spans="1:17" x14ac:dyDescent="0.25">
      <c r="A33" s="335"/>
      <c r="D33" s="143" t="s">
        <v>42</v>
      </c>
      <c r="E33" s="191">
        <f>SUM(E30:E32)</f>
        <v>0</v>
      </c>
      <c r="F33" s="152">
        <f>IFERROR(E33/$E$50,0)</f>
        <v>0</v>
      </c>
      <c r="G33" s="192">
        <f>SUM(G30:G32)</f>
        <v>100242.1875</v>
      </c>
      <c r="H33" s="152">
        <f>IFERROR(G33/$G$50,0)</f>
        <v>0.52787986834887546</v>
      </c>
      <c r="I33" s="192">
        <f>SUM(I30:I32)</f>
        <v>328601.5625</v>
      </c>
      <c r="J33" s="152">
        <f>IFERROR(I33/$I$50,0)</f>
        <v>0.51123490803014349</v>
      </c>
      <c r="K33" s="192">
        <f>SUM(K30:K32)</f>
        <v>685585.93750000012</v>
      </c>
      <c r="L33" s="152">
        <f>IFERROR(K33/$K$50,0)</f>
        <v>0.50433908045977016</v>
      </c>
      <c r="M33" s="192">
        <f>SUM(M30:M32)</f>
        <v>1171195.3125</v>
      </c>
      <c r="N33" s="152">
        <f>IFERROR(M33/$M$50,0)</f>
        <v>0.50056652494267961</v>
      </c>
      <c r="Q33" s="97"/>
    </row>
    <row r="34" spans="1:17" hidden="1" x14ac:dyDescent="0.25">
      <c r="A34" s="335"/>
      <c r="E34" s="192"/>
      <c r="F34" s="164"/>
      <c r="G34" s="192"/>
      <c r="H34" s="193"/>
      <c r="I34" s="192"/>
      <c r="J34" s="193"/>
      <c r="K34" s="192"/>
      <c r="L34" s="193"/>
      <c r="M34" s="192"/>
      <c r="N34" s="193"/>
      <c r="Q34" s="97"/>
    </row>
    <row r="35" spans="1:17" hidden="1" x14ac:dyDescent="0.25">
      <c r="A35" s="335"/>
      <c r="D35" s="143" t="s">
        <v>174</v>
      </c>
      <c r="E35" s="180">
        <v>0</v>
      </c>
      <c r="F35" s="164"/>
      <c r="G35" s="194">
        <f>IFERROR(G30/$E$37,0)</f>
        <v>0.4428125</v>
      </c>
      <c r="H35" s="195"/>
      <c r="I35" s="194">
        <f>IFERROR(I30/$E$37,0)</f>
        <v>0.94385416666666666</v>
      </c>
      <c r="J35" s="195"/>
      <c r="K35" s="194">
        <f>IFERROR(K30/$E$37,0)</f>
        <v>1.5098958333333334</v>
      </c>
      <c r="L35" s="195"/>
      <c r="M35" s="194">
        <f>IFERROR(M30/$E$37,0)</f>
        <v>2.1409375000000002</v>
      </c>
      <c r="N35" s="193"/>
      <c r="P35" s="196"/>
      <c r="Q35" s="97"/>
    </row>
    <row r="36" spans="1:17" hidden="1" x14ac:dyDescent="0.25">
      <c r="A36" s="335"/>
      <c r="D36" s="143" t="s">
        <v>175</v>
      </c>
      <c r="E36" s="180">
        <v>0</v>
      </c>
      <c r="G36" s="194">
        <f>IFERROR(G31/$E$38,0)</f>
        <v>1.1171875</v>
      </c>
      <c r="H36" s="193"/>
      <c r="I36" s="194">
        <f>IFERROR(I31/$E$38,0)</f>
        <v>4.296875</v>
      </c>
      <c r="J36" s="193"/>
      <c r="K36" s="194">
        <f>IFERROR(K31/$E$38,0)</f>
        <v>9.5390625000000018</v>
      </c>
      <c r="L36" s="193"/>
      <c r="M36" s="194">
        <f>IFERROR(M31/$E$38,0)</f>
        <v>16.84375</v>
      </c>
      <c r="N36" s="193"/>
      <c r="P36" s="145"/>
      <c r="Q36" s="97"/>
    </row>
    <row r="37" spans="1:17" hidden="1" x14ac:dyDescent="0.25">
      <c r="A37" s="335"/>
      <c r="D37" s="143" t="s">
        <v>58</v>
      </c>
      <c r="E37" s="248">
        <f>'Key Variables'!C23</f>
        <v>75000</v>
      </c>
      <c r="F37" s="152" t="s">
        <v>51</v>
      </c>
      <c r="G37" s="192"/>
      <c r="H37" s="193"/>
      <c r="I37" s="192"/>
      <c r="J37" s="193"/>
      <c r="K37" s="192"/>
      <c r="L37" s="193"/>
      <c r="M37" s="192"/>
      <c r="N37" s="193"/>
      <c r="Q37" s="97"/>
    </row>
    <row r="38" spans="1:17" hidden="1" x14ac:dyDescent="0.25">
      <c r="A38" s="335"/>
      <c r="D38" s="143" t="s">
        <v>59</v>
      </c>
      <c r="E38" s="248">
        <f>'Key Variables'!C24</f>
        <v>60000</v>
      </c>
      <c r="F38" s="152" t="s">
        <v>51</v>
      </c>
      <c r="G38" s="192"/>
      <c r="H38" s="193"/>
      <c r="I38" s="192"/>
      <c r="J38" s="193"/>
      <c r="K38" s="192"/>
      <c r="L38" s="193"/>
      <c r="M38" s="192"/>
      <c r="N38" s="193"/>
      <c r="Q38" s="97"/>
    </row>
    <row r="39" spans="1:17" hidden="1" x14ac:dyDescent="0.25">
      <c r="A39" s="335"/>
      <c r="E39" s="186"/>
      <c r="F39" s="164"/>
      <c r="G39" s="145"/>
      <c r="H39" s="164"/>
      <c r="I39" s="186"/>
      <c r="J39" s="164"/>
      <c r="K39" s="186"/>
      <c r="L39" s="164"/>
      <c r="M39" s="186"/>
      <c r="N39" s="164"/>
      <c r="Q39" s="97"/>
    </row>
    <row r="40" spans="1:17" hidden="1" x14ac:dyDescent="0.25">
      <c r="A40" s="335"/>
      <c r="B40" s="97" t="s">
        <v>79</v>
      </c>
      <c r="E40" s="143"/>
      <c r="F40" s="164"/>
      <c r="G40" s="143"/>
      <c r="H40" s="164"/>
      <c r="I40" s="143"/>
      <c r="J40" s="164"/>
      <c r="K40" s="143"/>
      <c r="L40" s="164"/>
      <c r="M40" s="143"/>
      <c r="N40" s="164"/>
      <c r="Q40" s="97"/>
    </row>
    <row r="41" spans="1:17" hidden="1" x14ac:dyDescent="0.25">
      <c r="A41" s="335"/>
      <c r="C41" s="97" t="s">
        <v>78</v>
      </c>
      <c r="E41" s="244">
        <v>0</v>
      </c>
      <c r="F41" s="152">
        <f>IFERROR(E41/$E$50,0)</f>
        <v>0</v>
      </c>
      <c r="G41" s="197">
        <f>(1-$E$85)*G21</f>
        <v>0</v>
      </c>
      <c r="H41" s="152">
        <f>IFERROR(G41/$G$50,0)</f>
        <v>0</v>
      </c>
      <c r="I41" s="197">
        <f>(1-$E$85)*I21</f>
        <v>0</v>
      </c>
      <c r="J41" s="152">
        <f>IFERROR(I41/$I$50,0)</f>
        <v>0</v>
      </c>
      <c r="K41" s="197">
        <f>(1-$E$85)*K21</f>
        <v>0</v>
      </c>
      <c r="L41" s="152">
        <f>IFERROR(K41/$K$50,0)</f>
        <v>0</v>
      </c>
      <c r="M41" s="197">
        <f>(1-$E$85)*M21</f>
        <v>0</v>
      </c>
      <c r="N41" s="152">
        <f>IFERROR(M41/$M$50,0)</f>
        <v>0</v>
      </c>
      <c r="Q41" s="97"/>
    </row>
    <row r="42" spans="1:17" x14ac:dyDescent="0.25">
      <c r="E42" s="143"/>
      <c r="F42" s="164"/>
      <c r="G42" s="143"/>
      <c r="H42" s="164"/>
      <c r="I42" s="143"/>
      <c r="J42" s="164"/>
      <c r="K42" s="143"/>
      <c r="L42" s="164"/>
      <c r="M42" s="143"/>
      <c r="N42" s="164"/>
      <c r="Q42" s="97"/>
    </row>
    <row r="43" spans="1:17" ht="15.75" customHeight="1" x14ac:dyDescent="0.25">
      <c r="A43" s="335" t="s">
        <v>44</v>
      </c>
      <c r="B43" s="97" t="s">
        <v>15</v>
      </c>
      <c r="E43" s="145"/>
      <c r="F43" s="152"/>
      <c r="G43" s="198"/>
      <c r="H43" s="152"/>
      <c r="I43" s="198"/>
      <c r="J43" s="152"/>
      <c r="K43" s="198"/>
      <c r="L43" s="152"/>
      <c r="M43" s="198"/>
      <c r="N43" s="152"/>
      <c r="Q43" s="97"/>
    </row>
    <row r="44" spans="1:17" x14ac:dyDescent="0.25">
      <c r="A44" s="335"/>
      <c r="D44" s="97" t="s">
        <v>179</v>
      </c>
      <c r="E44" s="240">
        <v>0</v>
      </c>
      <c r="F44" s="152">
        <f>IFERROR(E44/$E$50,0)</f>
        <v>0</v>
      </c>
      <c r="G44" s="199">
        <f>($E$44+$E101)+'Key Variables'!G7+'Core Calculations'!B70</f>
        <v>56968.75</v>
      </c>
      <c r="H44" s="152">
        <f>IFERROR(G44/$G$50,0)</f>
        <v>0.3</v>
      </c>
      <c r="I44" s="199">
        <f>($E$44+($E101*2))+'Key Variables'!H7+'Core Calculations'!C70</f>
        <v>160690.10416666666</v>
      </c>
      <c r="J44" s="152">
        <f>IFERROR(I44/$I$50,0)</f>
        <v>0.25</v>
      </c>
      <c r="K44" s="199">
        <f>($E$44+($E101*3))+'Key Variables'!J7+'Core Calculations'!D70</f>
        <v>271875</v>
      </c>
      <c r="L44" s="152">
        <f>IFERROR(K44/$K$50,0)</f>
        <v>0.2</v>
      </c>
      <c r="M44" s="199">
        <f>($E$44+($E101*4))+'Key Variables'!K7+'Core Calculations'!E70</f>
        <v>350960.9375</v>
      </c>
      <c r="N44" s="152">
        <f>IFERROR(M44/$M$50,0)</f>
        <v>0.15</v>
      </c>
      <c r="Q44" s="97"/>
    </row>
    <row r="45" spans="1:17" hidden="1" x14ac:dyDescent="0.25">
      <c r="A45" s="335"/>
      <c r="D45" s="97" t="s">
        <v>0</v>
      </c>
      <c r="E45" s="240">
        <v>0</v>
      </c>
      <c r="F45" s="152">
        <f>IFERROR(E45/$E$50,0)</f>
        <v>0</v>
      </c>
      <c r="G45" s="200">
        <f>($E$45+$E$104)+'Key Variables'!$G91+'Core Calculations'!B71</f>
        <v>0</v>
      </c>
      <c r="H45" s="152">
        <f>IFERROR(G45/$G$50,0)</f>
        <v>0</v>
      </c>
      <c r="I45" s="200">
        <f>($E$45+($E$104*2))+'Key Variables'!$I91+'Core Calculations'!C71</f>
        <v>0</v>
      </c>
      <c r="J45" s="152">
        <f>IFERROR(I45/$I$50,0)</f>
        <v>0</v>
      </c>
      <c r="K45" s="200">
        <f>($E$45+($E$104*3))+'Key Variables'!J91+'Core Calculations'!D71</f>
        <v>0</v>
      </c>
      <c r="L45" s="152">
        <f>IFERROR(K45/$K$50,0)</f>
        <v>0</v>
      </c>
      <c r="M45" s="200">
        <f>($E$45+($E$104*4))+'Key Variables'!K91+'Core Calculations'!E71</f>
        <v>0</v>
      </c>
      <c r="N45" s="152">
        <f>IFERROR(M45/$M$50,0)</f>
        <v>0</v>
      </c>
      <c r="Q45" s="97"/>
    </row>
    <row r="46" spans="1:17" x14ac:dyDescent="0.25">
      <c r="A46" s="335"/>
      <c r="D46" s="97" t="s">
        <v>178</v>
      </c>
      <c r="E46" s="240">
        <v>0</v>
      </c>
      <c r="F46" s="152">
        <f>IFERROR(E46/$E$50,0)</f>
        <v>0</v>
      </c>
      <c r="G46" s="170">
        <f>'Key Variables'!G11+E46</f>
        <v>75000</v>
      </c>
      <c r="H46" s="152">
        <f>IFERROR(G46/$G$50,0)</f>
        <v>0.39495337356006582</v>
      </c>
      <c r="I46" s="170">
        <f>'Key Variables'!H11+E46</f>
        <v>75000</v>
      </c>
      <c r="J46" s="152">
        <f>IFERROR(I46/$I$50,0)</f>
        <v>0.11668422332063853</v>
      </c>
      <c r="K46" s="170">
        <f>'Key Variables'!J11+E46</f>
        <v>75000</v>
      </c>
      <c r="L46" s="152">
        <f>IFERROR(K46/$K$50,0)</f>
        <v>5.5172413793103448E-2</v>
      </c>
      <c r="M46" s="170">
        <f>'Key Variables'!K11+E46</f>
        <v>75000</v>
      </c>
      <c r="N46" s="152">
        <f>IFERROR(M46/$M$50,0)</f>
        <v>3.2054849408988714E-2</v>
      </c>
      <c r="Q46" s="97"/>
    </row>
    <row r="47" spans="1:17" hidden="1" x14ac:dyDescent="0.25">
      <c r="A47" s="335"/>
      <c r="D47" s="97" t="s">
        <v>61</v>
      </c>
      <c r="E47" s="245">
        <v>0</v>
      </c>
      <c r="F47" s="152">
        <f>IFERROR(E47/$E$50,0)</f>
        <v>0</v>
      </c>
      <c r="G47" s="170">
        <f>E47+'"Fine Tune" Variables'!G4</f>
        <v>0</v>
      </c>
      <c r="H47" s="152">
        <f>IFERROR(G47/$G$50,0)</f>
        <v>0</v>
      </c>
      <c r="I47" s="170">
        <f>E47+'"Fine Tune" Variables'!H4</f>
        <v>0</v>
      </c>
      <c r="J47" s="152">
        <f>IFERROR(I47/$I$50,0)</f>
        <v>0</v>
      </c>
      <c r="K47" s="170">
        <f>E47+'"Fine Tune" Variables'!I4</f>
        <v>0</v>
      </c>
      <c r="L47" s="152">
        <f>IFERROR(K47/$K$50,0)</f>
        <v>0</v>
      </c>
      <c r="M47" s="170">
        <f>E47+'"Fine Tune" Variables'!J4</f>
        <v>0</v>
      </c>
      <c r="N47" s="152">
        <f>IFERROR(M47/$M$50,0)</f>
        <v>0</v>
      </c>
      <c r="Q47" s="97"/>
    </row>
    <row r="48" spans="1:17" x14ac:dyDescent="0.25">
      <c r="A48" s="335"/>
      <c r="D48" s="143" t="s">
        <v>16</v>
      </c>
      <c r="E48" s="139">
        <f>SUM(E44:E47)</f>
        <v>0</v>
      </c>
      <c r="F48" s="152">
        <f>IFERROR(E48/$E$50,0)</f>
        <v>0</v>
      </c>
      <c r="G48" s="144">
        <f>SUM(G44:G47)</f>
        <v>131968.75</v>
      </c>
      <c r="H48" s="152">
        <f>IFERROR(G48/$G$50,0)</f>
        <v>0.69495337356006581</v>
      </c>
      <c r="I48" s="144">
        <f>SUM(I44:I47)</f>
        <v>235690.10416666666</v>
      </c>
      <c r="J48" s="152">
        <f>IFERROR(I48/$I$50,0)</f>
        <v>0.36668422332063855</v>
      </c>
      <c r="K48" s="144">
        <f>SUM(K44:K47)</f>
        <v>346875</v>
      </c>
      <c r="L48" s="152">
        <f>IFERROR(K48/$K$50,0)</f>
        <v>0.25517241379310346</v>
      </c>
      <c r="M48" s="144">
        <f>SUM(M44:M47)</f>
        <v>425960.9375</v>
      </c>
      <c r="N48" s="152">
        <f>IFERROR(M48/$M$50,0)</f>
        <v>0.18205484940898869</v>
      </c>
      <c r="Q48" s="97"/>
    </row>
    <row r="49" spans="1:18" x14ac:dyDescent="0.25">
      <c r="E49" s="145"/>
      <c r="F49" s="179"/>
      <c r="G49" s="145"/>
      <c r="H49" s="179"/>
      <c r="I49" s="145"/>
      <c r="J49" s="179"/>
      <c r="K49" s="145"/>
      <c r="L49" s="179"/>
      <c r="M49" s="145"/>
      <c r="N49" s="179"/>
      <c r="Q49" s="97"/>
    </row>
    <row r="50" spans="1:18" x14ac:dyDescent="0.25">
      <c r="B50" s="97" t="s">
        <v>1</v>
      </c>
      <c r="E50" s="139">
        <f>E8+E13+E21</f>
        <v>0</v>
      </c>
      <c r="F50" s="179"/>
      <c r="G50" s="144">
        <f>G8+G13+G21</f>
        <v>189895.83333333334</v>
      </c>
      <c r="I50" s="144">
        <f>I8+I13+I21</f>
        <v>642760.41666666663</v>
      </c>
      <c r="K50" s="144">
        <f>K8+K13+K21</f>
        <v>1359375</v>
      </c>
      <c r="M50" s="144">
        <f>M8+M13+M21</f>
        <v>2339739.5833333335</v>
      </c>
      <c r="N50" s="145"/>
      <c r="Q50" s="97"/>
    </row>
    <row r="51" spans="1:18" x14ac:dyDescent="0.25">
      <c r="B51" s="97" t="s">
        <v>2</v>
      </c>
      <c r="E51" s="139">
        <f>E28+E33+E41+E48</f>
        <v>0</v>
      </c>
      <c r="F51" s="179"/>
      <c r="G51" s="144">
        <f>G28+G33+G41+G48</f>
        <v>244229.16666666669</v>
      </c>
      <c r="I51" s="144">
        <f>I28+I33+I41+I48</f>
        <v>610515.625</v>
      </c>
      <c r="K51" s="144">
        <f>K28+K33+K41+K48</f>
        <v>1135078.125</v>
      </c>
      <c r="M51" s="144">
        <f>M28+M33+M41+M48</f>
        <v>1778354.1666666665</v>
      </c>
      <c r="N51" s="145"/>
      <c r="Q51" s="97"/>
    </row>
    <row r="52" spans="1:18" x14ac:dyDescent="0.25">
      <c r="E52" s="145"/>
      <c r="G52" s="145"/>
      <c r="I52" s="145"/>
      <c r="K52" s="145"/>
      <c r="M52" s="144"/>
      <c r="Q52" s="97"/>
    </row>
    <row r="53" spans="1:18" x14ac:dyDescent="0.25">
      <c r="B53" s="97" t="s">
        <v>255</v>
      </c>
      <c r="E53" s="201">
        <f>E50-E51</f>
        <v>0</v>
      </c>
      <c r="F53" s="202"/>
      <c r="G53" s="203">
        <f>G50-G51</f>
        <v>-54333.333333333343</v>
      </c>
      <c r="H53" s="202"/>
      <c r="I53" s="203">
        <f>I50-I51</f>
        <v>32244.791666666628</v>
      </c>
      <c r="J53" s="202"/>
      <c r="K53" s="203">
        <f>K50-K51</f>
        <v>224296.875</v>
      </c>
      <c r="L53" s="202"/>
      <c r="M53" s="203">
        <f>M50-M51</f>
        <v>561385.41666666698</v>
      </c>
      <c r="Q53" s="97"/>
    </row>
    <row r="54" spans="1:18" x14ac:dyDescent="0.25">
      <c r="G54" s="145"/>
    </row>
    <row r="55" spans="1:18" x14ac:dyDescent="0.25">
      <c r="B55" s="97" t="s">
        <v>256</v>
      </c>
      <c r="G55" s="152">
        <f>G53/G50</f>
        <v>-0.28612177729018107</v>
      </c>
      <c r="I55" s="152">
        <f>I53/I50</f>
        <v>5.0166112956810574E-2</v>
      </c>
      <c r="K55" s="152">
        <f>K53/K50</f>
        <v>0.16500000000000001</v>
      </c>
      <c r="M55" s="152">
        <f>M53/M50</f>
        <v>0.23993499988869857</v>
      </c>
    </row>
    <row r="56" spans="1:18" x14ac:dyDescent="0.25">
      <c r="G56" s="145"/>
    </row>
    <row r="57" spans="1:18" x14ac:dyDescent="0.25">
      <c r="B57" s="97" t="s">
        <v>257</v>
      </c>
      <c r="E57" s="204"/>
      <c r="F57" s="179"/>
      <c r="G57" s="152">
        <f>(G50-(G28+G33+G41))/G50</f>
        <v>0.4088315962698848</v>
      </c>
      <c r="I57" s="152">
        <f>(I50-(I28+I33+I41))/I50</f>
        <v>0.41685033627744916</v>
      </c>
      <c r="K57" s="152">
        <f>(K50-(K28+K33+K41))/K50</f>
        <v>0.42017241379310338</v>
      </c>
      <c r="M57" s="152">
        <f>(M50-(M28+M33+M41))/M50</f>
        <v>0.42198984929768724</v>
      </c>
      <c r="P57" s="122"/>
      <c r="Q57" s="146"/>
      <c r="R57" s="122"/>
    </row>
    <row r="58" spans="1:18" x14ac:dyDescent="0.25">
      <c r="F58" s="205"/>
      <c r="G58" s="206"/>
      <c r="H58" s="98"/>
      <c r="I58" s="206"/>
      <c r="K58" s="206"/>
      <c r="M58" s="206"/>
      <c r="N58" s="200"/>
      <c r="P58" s="122"/>
      <c r="Q58" s="146"/>
      <c r="R58" s="122"/>
    </row>
    <row r="59" spans="1:18" x14ac:dyDescent="0.25">
      <c r="D59" s="137"/>
      <c r="E59" s="153"/>
      <c r="F59" s="179"/>
      <c r="G59" s="144"/>
      <c r="I59" s="144"/>
      <c r="K59" s="144"/>
      <c r="M59" s="144"/>
      <c r="N59" s="200"/>
      <c r="P59" s="122"/>
      <c r="Q59" s="146"/>
      <c r="R59" s="122"/>
    </row>
    <row r="60" spans="1:18" ht="15" hidden="1" customHeight="1" x14ac:dyDescent="0.25">
      <c r="D60" s="143" t="s">
        <v>63</v>
      </c>
      <c r="E60" s="139">
        <f>IFERROR((#REF!+E10)/#REF!,0)</f>
        <v>0</v>
      </c>
      <c r="G60" s="144"/>
      <c r="I60" s="144"/>
      <c r="K60" s="144"/>
      <c r="M60" s="144"/>
      <c r="Q60" s="97"/>
    </row>
    <row r="61" spans="1:18" hidden="1" x14ac:dyDescent="0.25">
      <c r="D61" s="143" t="s">
        <v>62</v>
      </c>
      <c r="E61" s="207">
        <f>IFERROR((#REF!+E11)/12/#REF!,0)</f>
        <v>0</v>
      </c>
      <c r="G61" s="188"/>
      <c r="I61" s="188"/>
      <c r="K61" s="188"/>
      <c r="M61" s="188"/>
      <c r="N61" s="144"/>
      <c r="Q61" s="97"/>
    </row>
    <row r="62" spans="1:18" hidden="1" x14ac:dyDescent="0.25">
      <c r="E62" s="145"/>
    </row>
    <row r="63" spans="1:18" hidden="1" x14ac:dyDescent="0.25">
      <c r="A63" s="335" t="s">
        <v>50</v>
      </c>
      <c r="B63" s="208" t="s">
        <v>73</v>
      </c>
      <c r="C63" s="208"/>
      <c r="D63" s="208"/>
      <c r="E63" s="208"/>
      <c r="F63" s="208"/>
      <c r="G63" s="208"/>
    </row>
    <row r="64" spans="1:18" hidden="1" x14ac:dyDescent="0.25">
      <c r="A64" s="335"/>
      <c r="B64" s="208"/>
      <c r="C64" s="208" t="s">
        <v>81</v>
      </c>
      <c r="D64" s="208"/>
      <c r="E64" s="209">
        <f>IFERROR((1-(#REF!/#REF!)),0.4)</f>
        <v>0.4</v>
      </c>
      <c r="F64" s="208" t="s">
        <v>65</v>
      </c>
      <c r="G64" s="210"/>
      <c r="I64" s="169"/>
      <c r="Q64" s="97"/>
    </row>
    <row r="65" spans="1:17" hidden="1" x14ac:dyDescent="0.25">
      <c r="A65" s="335"/>
      <c r="B65" s="208"/>
      <c r="C65" s="208" t="s">
        <v>80</v>
      </c>
      <c r="D65" s="208"/>
      <c r="E65" s="209">
        <f>IFERROR((1-(#REF!/(#REF!))),0.45)</f>
        <v>0.45</v>
      </c>
      <c r="F65" s="208" t="s">
        <v>65</v>
      </c>
      <c r="G65" s="210"/>
      <c r="I65" s="169"/>
      <c r="Q65" s="97"/>
    </row>
    <row r="66" spans="1:17" hidden="1" x14ac:dyDescent="0.25">
      <c r="A66" s="335"/>
      <c r="B66" s="208"/>
      <c r="C66" s="208"/>
      <c r="D66" s="211"/>
      <c r="E66" s="212"/>
      <c r="F66" s="208"/>
      <c r="G66" s="208"/>
      <c r="Q66" s="97"/>
    </row>
    <row r="67" spans="1:17" hidden="1" x14ac:dyDescent="0.25">
      <c r="A67" s="335"/>
      <c r="B67" s="208" t="s">
        <v>72</v>
      </c>
      <c r="C67" s="208"/>
      <c r="D67" s="208"/>
      <c r="E67" s="212"/>
      <c r="F67" s="208"/>
      <c r="G67" s="208"/>
      <c r="Q67" s="97"/>
    </row>
    <row r="68" spans="1:17" hidden="1" x14ac:dyDescent="0.25">
      <c r="A68" s="335"/>
      <c r="B68" s="208"/>
      <c r="C68" s="208" t="s">
        <v>71</v>
      </c>
      <c r="D68" s="208"/>
      <c r="E68" s="213">
        <f>IFERROR((1-(#REF!/#REF!)),0)</f>
        <v>0</v>
      </c>
      <c r="F68" s="208" t="s">
        <v>65</v>
      </c>
      <c r="G68" s="208"/>
      <c r="Q68" s="97"/>
    </row>
    <row r="69" spans="1:17" hidden="1" x14ac:dyDescent="0.25">
      <c r="A69" s="335"/>
      <c r="B69" s="208"/>
      <c r="C69" s="208" t="s">
        <v>46</v>
      </c>
      <c r="D69" s="208"/>
      <c r="E69" s="213">
        <f>IFERROR((1-(#REF!/#REF!)),0.75)</f>
        <v>0.75</v>
      </c>
      <c r="F69" s="208" t="s">
        <v>65</v>
      </c>
      <c r="G69" s="214"/>
      <c r="H69" s="152"/>
      <c r="I69" s="152"/>
      <c r="Q69" s="97"/>
    </row>
    <row r="70" spans="1:17" hidden="1" x14ac:dyDescent="0.25">
      <c r="A70" s="335"/>
      <c r="B70" s="208"/>
      <c r="C70" s="208" t="s">
        <v>49</v>
      </c>
      <c r="D70" s="208"/>
      <c r="E70" s="209">
        <f>IFERROR((1-(#REF!/#REF!)),0.1)</f>
        <v>0.1</v>
      </c>
      <c r="F70" s="208" t="s">
        <v>65</v>
      </c>
      <c r="G70" s="210"/>
      <c r="H70" s="152"/>
      <c r="I70" s="152"/>
      <c r="Q70" s="97"/>
    </row>
    <row r="71" spans="1:17" hidden="1" x14ac:dyDescent="0.25">
      <c r="A71" s="335"/>
      <c r="B71" s="208"/>
      <c r="C71" s="208"/>
      <c r="D71" s="208"/>
      <c r="E71" s="209"/>
      <c r="F71" s="208"/>
      <c r="G71" s="210"/>
      <c r="H71" s="152"/>
      <c r="I71" s="152"/>
      <c r="Q71" s="97"/>
    </row>
    <row r="72" spans="1:17" hidden="1" x14ac:dyDescent="0.25">
      <c r="A72" s="335"/>
      <c r="B72" s="208" t="s">
        <v>98</v>
      </c>
      <c r="C72" s="208"/>
      <c r="D72" s="208"/>
      <c r="E72" s="215">
        <f>IFERROR(#REF!/#REF!,0)</f>
        <v>0</v>
      </c>
      <c r="F72" s="208"/>
      <c r="G72" s="210"/>
      <c r="H72" s="152"/>
      <c r="I72" s="152"/>
      <c r="Q72" s="97"/>
    </row>
    <row r="73" spans="1:17" hidden="1" x14ac:dyDescent="0.25">
      <c r="A73" s="335"/>
      <c r="B73" s="208"/>
      <c r="C73" s="208"/>
      <c r="D73" s="211"/>
      <c r="E73" s="212"/>
      <c r="F73" s="208"/>
      <c r="G73" s="208"/>
      <c r="Q73" s="97"/>
    </row>
    <row r="74" spans="1:17" hidden="1" x14ac:dyDescent="0.25">
      <c r="A74" s="335"/>
      <c r="B74" s="208" t="s">
        <v>45</v>
      </c>
      <c r="C74" s="208"/>
      <c r="D74" s="208"/>
      <c r="E74" s="212"/>
      <c r="F74" s="208"/>
      <c r="G74" s="208"/>
      <c r="Q74" s="97"/>
    </row>
    <row r="75" spans="1:17" hidden="1" x14ac:dyDescent="0.25">
      <c r="A75" s="335"/>
      <c r="B75" s="208"/>
      <c r="C75" s="208" t="s">
        <v>64</v>
      </c>
      <c r="D75" s="208"/>
      <c r="E75" s="209">
        <f>IFERROR((1-(E30/E10)),E64)</f>
        <v>0.4</v>
      </c>
      <c r="F75" s="208" t="s">
        <v>65</v>
      </c>
      <c r="G75" s="214"/>
      <c r="I75" s="152"/>
      <c r="K75" s="152"/>
      <c r="M75" s="152"/>
      <c r="Q75" s="97"/>
    </row>
    <row r="76" spans="1:17" hidden="1" x14ac:dyDescent="0.25">
      <c r="A76" s="335"/>
      <c r="B76" s="208"/>
      <c r="C76" s="208" t="s">
        <v>82</v>
      </c>
      <c r="D76" s="208"/>
      <c r="E76" s="209">
        <f>IFERROR((1-(E31/E11)),E65)</f>
        <v>0.45</v>
      </c>
      <c r="F76" s="208" t="s">
        <v>65</v>
      </c>
      <c r="G76" s="208"/>
      <c r="Q76" s="97"/>
    </row>
    <row r="77" spans="1:17" hidden="1" x14ac:dyDescent="0.25">
      <c r="A77" s="335"/>
      <c r="B77" s="208"/>
      <c r="C77" s="208"/>
      <c r="D77" s="208"/>
      <c r="E77" s="209"/>
      <c r="F77" s="208"/>
      <c r="G77" s="208"/>
      <c r="Q77" s="97"/>
    </row>
    <row r="78" spans="1:17" hidden="1" x14ac:dyDescent="0.25">
      <c r="A78" s="335"/>
      <c r="B78" s="208" t="s">
        <v>74</v>
      </c>
      <c r="C78" s="208"/>
      <c r="D78" s="208"/>
      <c r="E78" s="212"/>
      <c r="F78" s="208"/>
      <c r="G78" s="208"/>
      <c r="Q78" s="97"/>
    </row>
    <row r="79" spans="1:17" hidden="1" x14ac:dyDescent="0.25">
      <c r="A79" s="335"/>
      <c r="B79" s="208"/>
      <c r="C79" s="208" t="s">
        <v>76</v>
      </c>
      <c r="D79" s="208"/>
      <c r="E79" s="209">
        <f>IFERROR((1-(E25/E4)),0.2)</f>
        <v>0.2</v>
      </c>
      <c r="F79" s="208" t="s">
        <v>65</v>
      </c>
      <c r="G79" s="208"/>
      <c r="I79" s="169"/>
      <c r="K79" s="169"/>
      <c r="M79" s="169"/>
      <c r="Q79" s="97"/>
    </row>
    <row r="80" spans="1:17" hidden="1" x14ac:dyDescent="0.25">
      <c r="A80" s="335"/>
      <c r="B80" s="208"/>
      <c r="C80" s="208" t="s">
        <v>75</v>
      </c>
      <c r="D80" s="208"/>
      <c r="E80" s="209">
        <f>IFERROR((1-(E26/E5)),E69)</f>
        <v>0.75</v>
      </c>
      <c r="F80" s="208" t="s">
        <v>65</v>
      </c>
      <c r="G80" s="208"/>
      <c r="I80" s="169"/>
      <c r="K80" s="169"/>
      <c r="M80" s="169"/>
      <c r="Q80" s="97"/>
    </row>
    <row r="81" spans="1:17" hidden="1" x14ac:dyDescent="0.25">
      <c r="A81" s="335"/>
      <c r="B81" s="208"/>
      <c r="C81" s="208" t="s">
        <v>49</v>
      </c>
      <c r="D81" s="208"/>
      <c r="E81" s="209">
        <f>IFERROR((1-(E27/E6)),E70)</f>
        <v>0.1</v>
      </c>
      <c r="F81" s="208" t="s">
        <v>65</v>
      </c>
      <c r="G81" s="208"/>
      <c r="I81" s="169"/>
      <c r="K81" s="169"/>
      <c r="M81" s="169"/>
      <c r="Q81" s="97"/>
    </row>
    <row r="82" spans="1:17" hidden="1" x14ac:dyDescent="0.25">
      <c r="A82" s="335"/>
      <c r="B82" s="208"/>
      <c r="C82" s="208"/>
      <c r="D82" s="208"/>
      <c r="E82" s="209"/>
      <c r="F82" s="208"/>
      <c r="G82" s="208"/>
      <c r="I82" s="169"/>
      <c r="K82" s="169"/>
      <c r="M82" s="169"/>
      <c r="Q82" s="97"/>
    </row>
    <row r="83" spans="1:17" hidden="1" x14ac:dyDescent="0.25">
      <c r="A83" s="335"/>
      <c r="B83" s="208" t="s">
        <v>99</v>
      </c>
      <c r="C83" s="208"/>
      <c r="D83" s="208"/>
      <c r="E83" s="215">
        <f>IFERROR(E13/E8,0)</f>
        <v>0</v>
      </c>
      <c r="F83" s="208"/>
      <c r="G83" s="208"/>
      <c r="I83" s="169"/>
      <c r="K83" s="169"/>
      <c r="M83" s="169"/>
      <c r="Q83" s="97"/>
    </row>
    <row r="84" spans="1:17" hidden="1" x14ac:dyDescent="0.25">
      <c r="A84" s="335"/>
      <c r="B84" s="208"/>
      <c r="C84" s="208"/>
      <c r="D84" s="208"/>
      <c r="E84" s="212"/>
      <c r="F84" s="208"/>
      <c r="G84" s="208"/>
      <c r="I84" s="169"/>
      <c r="K84" s="169"/>
      <c r="M84" s="169"/>
      <c r="Q84" s="97"/>
    </row>
    <row r="85" spans="1:17" hidden="1" x14ac:dyDescent="0.25">
      <c r="A85" s="335"/>
      <c r="B85" s="208" t="s">
        <v>83</v>
      </c>
      <c r="C85" s="208"/>
      <c r="D85" s="208"/>
      <c r="E85" s="213">
        <f>IFERROR((1-(E41/E21)),0.1)</f>
        <v>0.1</v>
      </c>
      <c r="F85" s="208" t="s">
        <v>65</v>
      </c>
      <c r="G85" s="216"/>
      <c r="I85" s="181"/>
      <c r="K85" s="181"/>
      <c r="M85" s="181"/>
      <c r="Q85" s="97"/>
    </row>
    <row r="86" spans="1:17" x14ac:dyDescent="0.25">
      <c r="D86" s="143"/>
      <c r="Q86" s="97"/>
    </row>
    <row r="89" spans="1:17" hidden="1" x14ac:dyDescent="0.25">
      <c r="D89" s="143" t="s">
        <v>69</v>
      </c>
      <c r="E89" s="145" t="e">
        <f>#REF!+E13</f>
        <v>#REF!</v>
      </c>
      <c r="G89" s="145" t="e">
        <f>#REF!+G13-G12</f>
        <v>#REF!</v>
      </c>
      <c r="I89" s="145" t="e">
        <f>#REF!+I13-I12</f>
        <v>#REF!</v>
      </c>
      <c r="K89" s="145" t="e">
        <f>#REF!+K13-K12</f>
        <v>#REF!</v>
      </c>
      <c r="M89" s="145" t="e">
        <f>#REF!+M13-M12</f>
        <v>#REF!</v>
      </c>
    </row>
    <row r="90" spans="1:17" hidden="1" x14ac:dyDescent="0.25">
      <c r="D90" s="143" t="s">
        <v>43</v>
      </c>
      <c r="E90" s="144" t="e">
        <f>E33+#REF!</f>
        <v>#REF!</v>
      </c>
      <c r="G90" s="144" t="e">
        <f>G33+#REF!-G32</f>
        <v>#REF!</v>
      </c>
      <c r="I90" s="144" t="e">
        <f>I33+#REF!-I32</f>
        <v>#REF!</v>
      </c>
      <c r="K90" s="144" t="e">
        <f>K33+#REF!-K32</f>
        <v>#REF!</v>
      </c>
      <c r="M90" s="144" t="e">
        <f>M33+#REF!-M32</f>
        <v>#REF!</v>
      </c>
    </row>
    <row r="91" spans="1:17" hidden="1" x14ac:dyDescent="0.25">
      <c r="E91" s="129" t="s">
        <v>8</v>
      </c>
    </row>
    <row r="92" spans="1:17" hidden="1" x14ac:dyDescent="0.25"/>
    <row r="93" spans="1:17" hidden="1" x14ac:dyDescent="0.25">
      <c r="D93" s="143" t="s">
        <v>72</v>
      </c>
      <c r="E93" s="217">
        <f>IFERROR(#REF!/E50,0)</f>
        <v>0</v>
      </c>
    </row>
    <row r="94" spans="1:17" hidden="1" x14ac:dyDescent="0.25">
      <c r="D94" s="143" t="s">
        <v>73</v>
      </c>
      <c r="E94" s="217">
        <f>IFERROR(#REF!/E50,0)</f>
        <v>0</v>
      </c>
    </row>
    <row r="95" spans="1:17" hidden="1" x14ac:dyDescent="0.25">
      <c r="D95" s="143" t="s">
        <v>74</v>
      </c>
      <c r="E95" s="217">
        <f>IFERROR(E8/E50,0)</f>
        <v>0</v>
      </c>
    </row>
    <row r="96" spans="1:17" hidden="1" x14ac:dyDescent="0.25">
      <c r="D96" s="143" t="s">
        <v>45</v>
      </c>
      <c r="E96" s="217">
        <f>IFERROR(E13/E50,0)</f>
        <v>0</v>
      </c>
    </row>
    <row r="97" spans="4:13" hidden="1" x14ac:dyDescent="0.25">
      <c r="D97" s="143" t="s">
        <v>70</v>
      </c>
      <c r="E97" s="217">
        <f>IFERROR(E21/E50,0)</f>
        <v>0</v>
      </c>
    </row>
    <row r="98" spans="4:13" hidden="1" x14ac:dyDescent="0.25"/>
    <row r="99" spans="4:13" hidden="1" x14ac:dyDescent="0.25"/>
    <row r="100" spans="4:13" hidden="1" x14ac:dyDescent="0.25">
      <c r="D100" s="143" t="s">
        <v>111</v>
      </c>
      <c r="E100" s="144">
        <f>E44*($E$93+E94+$E$97)</f>
        <v>0</v>
      </c>
    </row>
    <row r="101" spans="4:13" hidden="1" x14ac:dyDescent="0.25">
      <c r="D101" s="143" t="s">
        <v>112</v>
      </c>
      <c r="E101" s="145">
        <f>'"Fine Tune" Variables'!$C$38*E100</f>
        <v>0</v>
      </c>
      <c r="F101" s="152">
        <f>IFERROR(-E101/E100,0)</f>
        <v>0</v>
      </c>
    </row>
    <row r="102" spans="4:13" hidden="1" x14ac:dyDescent="0.25"/>
    <row r="103" spans="4:13" hidden="1" x14ac:dyDescent="0.25">
      <c r="D103" s="143" t="s">
        <v>113</v>
      </c>
      <c r="E103" s="144">
        <f>E45*($E$93+E94+$E$97)</f>
        <v>0</v>
      </c>
    </row>
    <row r="104" spans="4:13" hidden="1" x14ac:dyDescent="0.25">
      <c r="D104" s="143" t="s">
        <v>114</v>
      </c>
      <c r="E104" s="218">
        <f>'"Fine Tune" Variables'!$C$38*E103</f>
        <v>0</v>
      </c>
      <c r="F104" s="152">
        <f>IFERROR(-E104/E103,0)</f>
        <v>0</v>
      </c>
    </row>
    <row r="105" spans="4:13" hidden="1" x14ac:dyDescent="0.25"/>
    <row r="106" spans="4:13" hidden="1" x14ac:dyDescent="0.25">
      <c r="D106" s="143" t="s">
        <v>115</v>
      </c>
      <c r="E106" s="145">
        <f>E47*'"Fine Tune" Variables'!C38</f>
        <v>0</v>
      </c>
    </row>
    <row r="107" spans="4:13" hidden="1" x14ac:dyDescent="0.25"/>
    <row r="108" spans="4:13" hidden="1" x14ac:dyDescent="0.25">
      <c r="G108" s="145">
        <f>E47+'"Fine Tune" Variables'!G4+(E106/2)</f>
        <v>0</v>
      </c>
      <c r="I108" s="145">
        <f>E47+'"Fine Tune" Variables'!H4+(E106)</f>
        <v>0</v>
      </c>
      <c r="K108" s="145">
        <f>E47+'"Fine Tune" Variables'!I4+(E106)</f>
        <v>0</v>
      </c>
      <c r="M108" s="145">
        <f>E47+'"Fine Tune" Variables'!J4+(E106)</f>
        <v>0</v>
      </c>
    </row>
    <row r="109" spans="4:13" hidden="1" x14ac:dyDescent="0.25"/>
    <row r="110" spans="4:13" hidden="1" x14ac:dyDescent="0.25">
      <c r="D110" s="143" t="s">
        <v>93</v>
      </c>
      <c r="E110" s="145" t="e">
        <f>#REF!+#REF!</f>
        <v>#REF!</v>
      </c>
      <c r="F110" s="145"/>
      <c r="G110" s="145" t="e">
        <f>#REF!+#REF!</f>
        <v>#REF!</v>
      </c>
      <c r="H110" s="145"/>
      <c r="I110" s="145" t="e">
        <f>#REF!+#REF!</f>
        <v>#REF!</v>
      </c>
      <c r="J110" s="145"/>
      <c r="K110" s="145" t="e">
        <f>#REF!+#REF!</f>
        <v>#REF!</v>
      </c>
      <c r="L110" s="145"/>
      <c r="M110" s="145" t="e">
        <f>#REF!+#REF!</f>
        <v>#REF!</v>
      </c>
    </row>
    <row r="111" spans="4:13" hidden="1" x14ac:dyDescent="0.25">
      <c r="D111" s="143" t="s">
        <v>66</v>
      </c>
      <c r="E111" s="144">
        <f>E8+E13</f>
        <v>0</v>
      </c>
      <c r="F111" s="144"/>
      <c r="G111" s="144">
        <f t="shared" ref="G111:M111" si="0">G8+G13</f>
        <v>189895.83333333334</v>
      </c>
      <c r="H111" s="144"/>
      <c r="I111" s="144">
        <f t="shared" si="0"/>
        <v>642760.41666666663</v>
      </c>
      <c r="J111" s="144"/>
      <c r="K111" s="144">
        <f t="shared" si="0"/>
        <v>1359375</v>
      </c>
      <c r="L111" s="144"/>
      <c r="M111" s="144">
        <f t="shared" si="0"/>
        <v>2339739.5833333335</v>
      </c>
    </row>
    <row r="112" spans="4:13" hidden="1" x14ac:dyDescent="0.25"/>
    <row r="113" spans="4:13" hidden="1" x14ac:dyDescent="0.25">
      <c r="D113" s="143" t="s">
        <v>93</v>
      </c>
      <c r="E113" s="145" t="e">
        <f>#REF!+#REF!</f>
        <v>#REF!</v>
      </c>
      <c r="G113" s="145" t="e">
        <f>#REF!+#REF!</f>
        <v>#REF!</v>
      </c>
      <c r="I113" s="145" t="e">
        <f>#REF!+#REF!</f>
        <v>#REF!</v>
      </c>
      <c r="K113" s="145" t="e">
        <f>#REF!+#REF!</f>
        <v>#REF!</v>
      </c>
      <c r="M113" s="145" t="e">
        <f>#REF!+#REF!</f>
        <v>#REF!</v>
      </c>
    </row>
    <row r="114" spans="4:13" hidden="1" x14ac:dyDescent="0.25">
      <c r="D114" s="143" t="s">
        <v>66</v>
      </c>
      <c r="E114" s="144">
        <f>E28+E33</f>
        <v>0</v>
      </c>
      <c r="G114" s="144">
        <f>G28+G33</f>
        <v>112260.41666666667</v>
      </c>
      <c r="I114" s="144">
        <f>I28+I33</f>
        <v>374825.52083333331</v>
      </c>
      <c r="K114" s="144">
        <f>K28+K33</f>
        <v>788203.12500000012</v>
      </c>
      <c r="M114" s="144">
        <f>M28+M33</f>
        <v>1352393.2291666665</v>
      </c>
    </row>
    <row r="115" spans="4:13" hidden="1" x14ac:dyDescent="0.25"/>
    <row r="116" spans="4:13" hidden="1" x14ac:dyDescent="0.25"/>
    <row r="117" spans="4:13" hidden="1" x14ac:dyDescent="0.25">
      <c r="D117" s="143" t="s">
        <v>125</v>
      </c>
      <c r="E117" s="145" t="e">
        <f>E110+E111-E113-E114</f>
        <v>#REF!</v>
      </c>
      <c r="G117" s="145" t="e">
        <f>G110+G111-G113-G114</f>
        <v>#REF!</v>
      </c>
      <c r="I117" s="145" t="e">
        <f>I110+I111-I113-I114</f>
        <v>#REF!</v>
      </c>
      <c r="K117" s="145" t="e">
        <f>K110+K111-K113-K114</f>
        <v>#REF!</v>
      </c>
      <c r="M117" s="145" t="e">
        <f>M110+M111-M113-M114</f>
        <v>#REF!</v>
      </c>
    </row>
    <row r="123" spans="4:13" hidden="1" x14ac:dyDescent="0.25">
      <c r="J123" s="97" t="s">
        <v>122</v>
      </c>
      <c r="K123" s="97" t="s">
        <v>123</v>
      </c>
      <c r="L123" s="97" t="s">
        <v>124</v>
      </c>
      <c r="M123" s="169"/>
    </row>
    <row r="124" spans="4:13" hidden="1" x14ac:dyDescent="0.25">
      <c r="J124" s="97" t="s">
        <v>40</v>
      </c>
      <c r="K124" s="145">
        <f>G50*0.82</f>
        <v>155714.58333333334</v>
      </c>
      <c r="L124" s="145">
        <f>G50*0.18</f>
        <v>34181.25</v>
      </c>
      <c r="M124" s="169"/>
    </row>
    <row r="125" spans="4:13" hidden="1" x14ac:dyDescent="0.25">
      <c r="J125" s="97" t="s">
        <v>41</v>
      </c>
      <c r="K125" s="145">
        <f>K124+M13</f>
        <v>2240245.8333333335</v>
      </c>
      <c r="L125" s="145">
        <f>L124+M8</f>
        <v>289389.58333333326</v>
      </c>
    </row>
    <row r="126" spans="4:13" hidden="1" x14ac:dyDescent="0.25"/>
    <row r="127" spans="4:13" hidden="1" x14ac:dyDescent="0.25">
      <c r="K127" s="145">
        <v>3167250</v>
      </c>
      <c r="L127" s="145">
        <v>695250</v>
      </c>
      <c r="M127" s="145">
        <f>SUM(K127:L127)</f>
        <v>3862500</v>
      </c>
    </row>
    <row r="128" spans="4:13" hidden="1" x14ac:dyDescent="0.25">
      <c r="J128" s="152"/>
      <c r="K128" s="219">
        <v>3209750</v>
      </c>
      <c r="L128" s="219">
        <v>1524427.734375</v>
      </c>
      <c r="M128" s="145">
        <f>SUM(K128:L128)</f>
        <v>4734177.734375</v>
      </c>
    </row>
    <row r="129" spans="10:13" hidden="1" x14ac:dyDescent="0.25">
      <c r="J129" s="152"/>
      <c r="K129" s="152"/>
      <c r="L129" s="152"/>
      <c r="M129" s="152"/>
    </row>
    <row r="130" spans="10:13" hidden="1" x14ac:dyDescent="0.25">
      <c r="J130" s="152"/>
      <c r="K130" s="152">
        <f>K127/M127</f>
        <v>0.82</v>
      </c>
      <c r="L130" s="152">
        <f>L127/M127</f>
        <v>0.18</v>
      </c>
      <c r="M130" s="152"/>
    </row>
    <row r="131" spans="10:13" hidden="1" x14ac:dyDescent="0.25">
      <c r="J131" s="152"/>
      <c r="K131" s="152">
        <f>K128/M128</f>
        <v>0.67799524650160758</v>
      </c>
      <c r="L131" s="152">
        <f>L128/M128</f>
        <v>0.32200475349839247</v>
      </c>
      <c r="M131" s="152"/>
    </row>
  </sheetData>
  <sheetProtection algorithmName="SHA-512" hashValue="KWZZxosQjYqH8VtMA7rf3I35iprcxYkXB9wLIPSj9a2KQFq3QTr0sMZvgwBGX+6ms76CE9HSuIenySpSoFYR1g==" saltValue="lbam0hf5cQLKkLsIleLOrA==" spinCount="100000" sheet="1" objects="1" scenarios="1"/>
  <mergeCells count="9">
    <mergeCell ref="A63:A85"/>
    <mergeCell ref="K1:L1"/>
    <mergeCell ref="M1:N1"/>
    <mergeCell ref="A43:A48"/>
    <mergeCell ref="E1:F1"/>
    <mergeCell ref="G1:H1"/>
    <mergeCell ref="I1:J1"/>
    <mergeCell ref="A3:A21"/>
    <mergeCell ref="A23:A41"/>
  </mergeCells>
  <pageMargins left="0.7" right="0.7" top="0.75" bottom="0.75" header="0.3" footer="0.3"/>
  <pageSetup scale="48" orientation="landscape" r:id="rId1"/>
  <ignoredErrors>
    <ignoredError sqref="F40:M40 F42:G42 F52:M53 F48:G48 F29:G29 F50:F51 H50:H51 J50:J51 L50:L51 F24 F20:M20 F54 H54:M54 F28 H24:M24 F43 K8 I8 G8 F8 H8 J8 L8 F13:L13 M32 K32 I32 H29:M29 H27:M28 H31 H33:M35 H32 J32 L32 E33:F36 F37:F38 M48 M41 K41 K48 I48 I41 H42:M42 H41 H43:M47 J41 H48 J48 L48 L41 H30 J30 L30 H26 J26 L26 J31 L31 H37:M38 H36 J36 L36" formula="1"/>
    <ignoredError sqref="E42:E43 E22"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5:F42"/>
  <sheetViews>
    <sheetView showGridLines="0" zoomScale="70" zoomScaleNormal="70" workbookViewId="0">
      <selection activeCell="K34" sqref="K34"/>
    </sheetView>
  </sheetViews>
  <sheetFormatPr defaultColWidth="9.125" defaultRowHeight="15" x14ac:dyDescent="0.25"/>
  <cols>
    <col min="2" max="2" width="30" customWidth="1"/>
  </cols>
  <sheetData>
    <row r="25" spans="4:4" x14ac:dyDescent="0.25">
      <c r="D25" s="41"/>
    </row>
    <row r="27" spans="4:4" s="33" customFormat="1" x14ac:dyDescent="0.25"/>
    <row r="37" spans="2:6" x14ac:dyDescent="0.25">
      <c r="C37">
        <v>1</v>
      </c>
      <c r="D37">
        <v>2</v>
      </c>
      <c r="E37">
        <v>3</v>
      </c>
      <c r="F37">
        <v>4</v>
      </c>
    </row>
    <row r="38" spans="2:6" x14ac:dyDescent="0.25">
      <c r="B38" s="13" t="s">
        <v>166</v>
      </c>
      <c r="C38" s="30">
        <f>'Core Calculations'!M17</f>
        <v>1.25</v>
      </c>
      <c r="D38" s="30">
        <f>'Core Calculations'!Y17</f>
        <v>3.7500000000000013</v>
      </c>
      <c r="E38" s="30">
        <f>'Core Calculations'!AK17</f>
        <v>7.5000000000000009</v>
      </c>
      <c r="F38" s="30">
        <f>'Core Calculations'!AW17</f>
        <v>12.499999999999995</v>
      </c>
    </row>
    <row r="39" spans="2:6" x14ac:dyDescent="0.25">
      <c r="B39" s="13" t="s">
        <v>109</v>
      </c>
      <c r="C39" s="30">
        <f>'Core Calculations'!M18</f>
        <v>0</v>
      </c>
      <c r="D39" s="30">
        <f>'Core Calculations'!Y18</f>
        <v>0</v>
      </c>
      <c r="E39" s="30">
        <f>'Core Calculations'!AK18</f>
        <v>0</v>
      </c>
      <c r="F39" s="30">
        <f>'Core Calculations'!AW18</f>
        <v>0</v>
      </c>
    </row>
    <row r="40" spans="2:6" x14ac:dyDescent="0.25">
      <c r="B40" s="13" t="s">
        <v>110</v>
      </c>
      <c r="C40" s="30">
        <f>'Core Calculations'!M19</f>
        <v>2.5</v>
      </c>
      <c r="D40" s="30">
        <f>'Core Calculations'!Y19</f>
        <v>7.5000000000000027</v>
      </c>
      <c r="E40" s="30">
        <f>'Core Calculations'!AK19</f>
        <v>15.000000000000002</v>
      </c>
      <c r="F40" s="30">
        <f>'Core Calculations'!AW19</f>
        <v>24.999999999999989</v>
      </c>
    </row>
    <row r="41" spans="2:6" x14ac:dyDescent="0.25">
      <c r="B41" s="13" t="s">
        <v>134</v>
      </c>
      <c r="C41" s="30">
        <f>'Core Calculations'!M21</f>
        <v>5</v>
      </c>
      <c r="D41" s="30">
        <f>'Core Calculations'!Y21</f>
        <v>15.000000000000005</v>
      </c>
      <c r="E41" s="30">
        <f>'Core Calculations'!AK21</f>
        <v>30.000000000000004</v>
      </c>
      <c r="F41" s="30">
        <f>'Core Calculations'!AW21</f>
        <v>49.999999999999979</v>
      </c>
    </row>
    <row r="42" spans="2:6" x14ac:dyDescent="0.25">
      <c r="B42" s="13"/>
      <c r="C42" s="30"/>
      <c r="D42" s="30"/>
      <c r="E42" s="30"/>
      <c r="F42" s="30"/>
    </row>
  </sheetData>
  <sheetProtection algorithmName="SHA-512" hashValue="EkgvznXQ7diNSvva64e9yMxIBbmPsAZ5XJQ7s95zEZM/y2vtGqA3a8FofqIvkIdnEAI7ZT8bBHEeir8GxYLXrQ==" saltValue="FQw8OY5U2UODyMM9nHpXNA=="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3:AX45"/>
  <sheetViews>
    <sheetView showGridLines="0" zoomScale="70" zoomScaleNormal="70" workbookViewId="0">
      <selection activeCell="M45" sqref="M45"/>
    </sheetView>
  </sheetViews>
  <sheetFormatPr defaultColWidth="9.125" defaultRowHeight="16.5" x14ac:dyDescent="0.3"/>
  <cols>
    <col min="1" max="2" width="9.125" style="91"/>
    <col min="3" max="9" width="9.25" style="91" bestFit="1" customWidth="1"/>
    <col min="10" max="10" width="25.625" style="91" customWidth="1"/>
    <col min="11" max="11" width="10.25" style="91" bestFit="1" customWidth="1"/>
    <col min="12" max="47" width="9.25" style="91" bestFit="1" customWidth="1"/>
    <col min="48" max="50" width="10.375" style="91" bestFit="1" customWidth="1"/>
    <col min="51" max="16384" width="9.125" style="91"/>
  </cols>
  <sheetData>
    <row r="33" spans="2:50" ht="20.25" x14ac:dyDescent="0.35">
      <c r="D33" s="93"/>
      <c r="E33" s="93"/>
      <c r="F33" s="93"/>
      <c r="G33" s="93"/>
      <c r="H33" s="93"/>
      <c r="I33" s="220" t="s">
        <v>170</v>
      </c>
      <c r="J33" s="221">
        <f>IF((-MIN('Core Calculations'!B50:AW50))&gt;0,(-MIN('Core Calculations'!B50:AW50)),0)</f>
        <v>68518.229166666686</v>
      </c>
    </row>
    <row r="45" spans="2:50" x14ac:dyDescent="0.3">
      <c r="B45" s="222" t="str">
        <f>'Core Calculations'!A50</f>
        <v>Monthly Cumulative Cash Flow</v>
      </c>
      <c r="C45" s="223">
        <f>'Core Calculations'!B50</f>
        <v>-8773.0034722222208</v>
      </c>
      <c r="D45" s="223">
        <f>'Core Calculations'!C50</f>
        <v>-16779.947916666664</v>
      </c>
      <c r="E45" s="223">
        <f>'Core Calculations'!D50</f>
        <v>-24020.833333333328</v>
      </c>
      <c r="F45" s="223">
        <f>'Core Calculations'!E50</f>
        <v>-30495.659722222215</v>
      </c>
      <c r="G45" s="223">
        <f>'Core Calculations'!F50</f>
        <v>-36204.427083333321</v>
      </c>
      <c r="H45" s="223">
        <f>'Core Calculations'!G50</f>
        <v>-41147.135416666657</v>
      </c>
      <c r="I45" s="223">
        <f>'Core Calculations'!H50</f>
        <v>-45305.555555555547</v>
      </c>
      <c r="J45" s="223">
        <f>'Core Calculations'!I50</f>
        <v>-48679.687499999993</v>
      </c>
      <c r="K45" s="223">
        <f>'Core Calculations'!J50</f>
        <v>-51269.531249999993</v>
      </c>
      <c r="L45" s="223">
        <f>'Core Calculations'!K50</f>
        <v>-53075.086805555547</v>
      </c>
      <c r="M45" s="223">
        <f>'Core Calculations'!L50</f>
        <v>-54096.354166666657</v>
      </c>
      <c r="N45" s="223">
        <f>'Core Calculations'!M50</f>
        <v>-54333.333333333328</v>
      </c>
      <c r="O45" s="223">
        <f>'Core Calculations'!N50</f>
        <v>-60205.078125</v>
      </c>
      <c r="P45" s="223">
        <f>'Core Calculations'!O50</f>
        <v>-64526.475694444453</v>
      </c>
      <c r="Q45" s="223">
        <f>'Core Calculations'!P50</f>
        <v>-67297.526041666686</v>
      </c>
      <c r="R45" s="223">
        <f>'Core Calculations'!Q50</f>
        <v>-68518.229166666686</v>
      </c>
      <c r="S45" s="223">
        <f>'Core Calculations'!R50</f>
        <v>-68188.585069444467</v>
      </c>
      <c r="T45" s="223">
        <f>'Core Calculations'!S50</f>
        <v>-66308.593750000029</v>
      </c>
      <c r="U45" s="223">
        <f>'Core Calculations'!T50</f>
        <v>-62860.026041666701</v>
      </c>
      <c r="V45" s="223">
        <f>'Core Calculations'!U50</f>
        <v>-57842.881944444482</v>
      </c>
      <c r="W45" s="223">
        <f>'Core Calculations'!V50</f>
        <v>-51257.161458333372</v>
      </c>
      <c r="X45" s="223">
        <f>'Core Calculations'!W50</f>
        <v>-43102.864583333379</v>
      </c>
      <c r="Y45" s="223">
        <f>'Core Calculations'!X50</f>
        <v>-33379.991319444489</v>
      </c>
      <c r="Z45" s="223">
        <f>'Core Calculations'!Y50</f>
        <v>-22088.541666666701</v>
      </c>
      <c r="AA45" s="223">
        <f>'Core Calculations'!Z50</f>
        <v>-16269.531250000029</v>
      </c>
      <c r="AB45" s="223">
        <f>'Core Calculations'!AA50</f>
        <v>-8115.8854166666933</v>
      </c>
      <c r="AC45" s="223">
        <f>'Core Calculations'!AB50</f>
        <v>2372.3958333333067</v>
      </c>
      <c r="AD45" s="223">
        <f>'Core Calculations'!AC50</f>
        <v>15195.312499999964</v>
      </c>
      <c r="AE45" s="223">
        <f>'Core Calculations'!AD50</f>
        <v>30352.864583333299</v>
      </c>
      <c r="AF45" s="223">
        <f>'Core Calculations'!AE50</f>
        <v>47845.052083333299</v>
      </c>
      <c r="AG45" s="223">
        <f>'Core Calculations'!AF50</f>
        <v>67690.104166666628</v>
      </c>
      <c r="AH45" s="223">
        <f>'Core Calculations'!AG50</f>
        <v>89888.020833333299</v>
      </c>
      <c r="AI45" s="223">
        <f>'Core Calculations'!AH50</f>
        <v>114438.8020833333</v>
      </c>
      <c r="AJ45" s="223">
        <f>'Core Calculations'!AI50</f>
        <v>141342.44791666663</v>
      </c>
      <c r="AK45" s="223">
        <f>'Core Calculations'!AJ50</f>
        <v>170598.95833333328</v>
      </c>
      <c r="AL45" s="223">
        <f>'Core Calculations'!AK50</f>
        <v>202208.33333333331</v>
      </c>
      <c r="AM45" s="223">
        <f>'Core Calculations'!AL50</f>
        <v>231804.47048611109</v>
      </c>
      <c r="AN45" s="223">
        <f>'Core Calculations'!AM50</f>
        <v>264519.53125</v>
      </c>
      <c r="AO45" s="223">
        <f>'Core Calculations'!AN50</f>
        <v>300353.515625</v>
      </c>
      <c r="AP45" s="223">
        <f>'Core Calculations'!AO50</f>
        <v>339306.42361111112</v>
      </c>
      <c r="AQ45" s="223">
        <f>'Core Calculations'!AP50</f>
        <v>381378.25520833331</v>
      </c>
      <c r="AR45" s="223">
        <f>'Core Calculations'!AQ50</f>
        <v>426569.01041666663</v>
      </c>
      <c r="AS45" s="223">
        <f>'Core Calculations'!AR50</f>
        <v>474896.91840277775</v>
      </c>
      <c r="AT45" s="223">
        <f>'Core Calculations'!AS50</f>
        <v>526361.97916666663</v>
      </c>
      <c r="AU45" s="223">
        <f>'Core Calculations'!AT50</f>
        <v>580964.19270833326</v>
      </c>
      <c r="AV45" s="223">
        <f>'Core Calculations'!AU50</f>
        <v>638703.55902777764</v>
      </c>
      <c r="AW45" s="223">
        <f>'Core Calculations'!AV50</f>
        <v>699580.07812499977</v>
      </c>
      <c r="AX45" s="223">
        <f>'Core Calculations'!AW50</f>
        <v>763593.74999999977</v>
      </c>
    </row>
  </sheetData>
  <sheetProtection algorithmName="SHA-512" hashValue="bnHZpokeGjqkBe/1oIoLP6g7TuhSUxjKBGgN4K3Gv4+COvrmHefXYilCFRuY3aKtYBBfNPEVeAfF+vIxNUnqig==" saltValue="BeZz2zZbAbVsfxBjzCBt2Q==" spinCount="100000" sheet="1" objects="1" scenarios="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4:F38"/>
  <sheetViews>
    <sheetView showGridLines="0" zoomScale="80" zoomScaleNormal="80" workbookViewId="0">
      <selection activeCell="B39" sqref="B39"/>
    </sheetView>
  </sheetViews>
  <sheetFormatPr defaultColWidth="9.125" defaultRowHeight="15" x14ac:dyDescent="0.25"/>
  <cols>
    <col min="2" max="2" width="23.625" bestFit="1" customWidth="1"/>
    <col min="3" max="7" width="12.75" customWidth="1"/>
  </cols>
  <sheetData>
    <row r="34" spans="2:6" x14ac:dyDescent="0.25">
      <c r="C34" t="s">
        <v>67</v>
      </c>
    </row>
    <row r="35" spans="2:6" x14ac:dyDescent="0.25">
      <c r="C35">
        <v>1</v>
      </c>
      <c r="D35">
        <v>2</v>
      </c>
      <c r="E35">
        <v>3</v>
      </c>
      <c r="F35">
        <v>4</v>
      </c>
    </row>
    <row r="36" spans="2:6" x14ac:dyDescent="0.25">
      <c r="B36" t="s">
        <v>167</v>
      </c>
      <c r="C36" s="41">
        <f>'P&amp;L Impact'!G35</f>
        <v>0.4428125</v>
      </c>
      <c r="D36" s="41">
        <f>'P&amp;L Impact'!I35</f>
        <v>0.94385416666666666</v>
      </c>
      <c r="E36" s="41">
        <f>'P&amp;L Impact'!K35</f>
        <v>1.5098958333333334</v>
      </c>
      <c r="F36" s="41">
        <f>'P&amp;L Impact'!M35</f>
        <v>2.1409375000000002</v>
      </c>
    </row>
    <row r="37" spans="2:6" x14ac:dyDescent="0.25">
      <c r="B37" t="s">
        <v>110</v>
      </c>
      <c r="C37" s="41">
        <f>'P&amp;L Impact'!G36</f>
        <v>1.1171875</v>
      </c>
      <c r="D37" s="41">
        <f>'P&amp;L Impact'!I36</f>
        <v>4.296875</v>
      </c>
      <c r="E37" s="41">
        <f>'P&amp;L Impact'!K36</f>
        <v>9.5390625000000018</v>
      </c>
      <c r="F37" s="41">
        <f>'P&amp;L Impact'!M36</f>
        <v>16.84375</v>
      </c>
    </row>
    <row r="38" spans="2:6" x14ac:dyDescent="0.25">
      <c r="B38" t="s">
        <v>258</v>
      </c>
      <c r="C38" s="41">
        <f>'Key Variables'!G7/'Key Variables'!$G$21</f>
        <v>0.87644230769230769</v>
      </c>
      <c r="D38" s="41">
        <f>'Key Variables'!H7/'Key Variables'!$G$21</f>
        <v>2.4721554487179485</v>
      </c>
      <c r="E38" s="41">
        <f>'Key Variables'!J7/'Key Variables'!$G$21</f>
        <v>4.1826923076923075</v>
      </c>
      <c r="F38" s="41">
        <f>'Key Variables'!K7/'Key Variables'!$G$21</f>
        <v>5.3993990384615387</v>
      </c>
    </row>
  </sheetData>
  <sheetProtection algorithmName="SHA-512" hashValue="8QbazqpbD6pHLTy+Zus1RYC/gGUPO5/oA5h9MtosfFZbRFl0ng1hpoVykEvodRnLPwe/KcWe40bUZgVieETpnQ==" saltValue="/JDwCt3LwNMmRZn7o3nXJA==" spinCount="100000" sheet="1" objects="1" scenarios="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78"/>
  <sheetViews>
    <sheetView showGridLines="0" zoomScale="80" zoomScaleNormal="80" workbookViewId="0">
      <pane xSplit="1" ySplit="2" topLeftCell="B53" activePane="bottomRight" state="frozen"/>
      <selection pane="topRight" activeCell="B1" sqref="B1"/>
      <selection pane="bottomLeft" activeCell="A3" sqref="A3"/>
      <selection pane="bottomRight" activeCell="E92" sqref="E92"/>
    </sheetView>
  </sheetViews>
  <sheetFormatPr defaultColWidth="9.125" defaultRowHeight="15" x14ac:dyDescent="0.25"/>
  <cols>
    <col min="1" max="1" width="77.875" style="3" customWidth="1"/>
    <col min="2" max="49" width="12.75" style="3" customWidth="1"/>
    <col min="50" max="50" width="10.875" style="3" bestFit="1" customWidth="1"/>
    <col min="51" max="16384" width="9.125" style="3"/>
  </cols>
  <sheetData>
    <row r="1" spans="1:50" ht="18.75" x14ac:dyDescent="0.3">
      <c r="B1" s="337" t="s">
        <v>18</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row>
    <row r="2" spans="1:50" x14ac:dyDescent="0.25">
      <c r="A2" s="3" t="s">
        <v>18</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row>
    <row r="3" spans="1:50" hidden="1" x14ac:dyDescent="0.25"/>
    <row r="4" spans="1:50" hidden="1" x14ac:dyDescent="0.25">
      <c r="A4" s="3" t="s">
        <v>135</v>
      </c>
      <c r="B4" s="8">
        <f>'Key Variables'!$G$3/12</f>
        <v>0.41666666666666669</v>
      </c>
      <c r="C4" s="7">
        <f>'Key Variables'!$G$3/12</f>
        <v>0.41666666666666669</v>
      </c>
      <c r="D4" s="7">
        <f>'Key Variables'!$G$3/12</f>
        <v>0.41666666666666669</v>
      </c>
      <c r="E4" s="7">
        <f>'Key Variables'!$G$3/12</f>
        <v>0.41666666666666669</v>
      </c>
      <c r="F4" s="7">
        <f>'Key Variables'!$G$3/12</f>
        <v>0.41666666666666669</v>
      </c>
      <c r="G4" s="7">
        <f>'Key Variables'!$G$3/12</f>
        <v>0.41666666666666669</v>
      </c>
      <c r="H4" s="7">
        <f>'Key Variables'!$G$3/12</f>
        <v>0.41666666666666669</v>
      </c>
      <c r="I4" s="7">
        <f>'Key Variables'!$G$3/12</f>
        <v>0.41666666666666669</v>
      </c>
      <c r="J4" s="7">
        <f>'Key Variables'!$G$3/12</f>
        <v>0.41666666666666669</v>
      </c>
      <c r="K4" s="7">
        <f>'Key Variables'!$G$3/12</f>
        <v>0.41666666666666669</v>
      </c>
      <c r="L4" s="7">
        <f>'Key Variables'!$G$3/12</f>
        <v>0.41666666666666669</v>
      </c>
      <c r="M4" s="7">
        <f>'Key Variables'!$G$3/12</f>
        <v>0.41666666666666669</v>
      </c>
      <c r="N4" s="7">
        <f>'Key Variables'!$H$3/12</f>
        <v>0.83333333333333337</v>
      </c>
      <c r="O4" s="7">
        <f>'Key Variables'!$H$3/12</f>
        <v>0.83333333333333337</v>
      </c>
      <c r="P4" s="7">
        <f>'Key Variables'!$H$3/12</f>
        <v>0.83333333333333337</v>
      </c>
      <c r="Q4" s="7">
        <f>'Key Variables'!$H$3/12</f>
        <v>0.83333333333333337</v>
      </c>
      <c r="R4" s="7">
        <f>'Key Variables'!$H$3/12</f>
        <v>0.83333333333333337</v>
      </c>
      <c r="S4" s="7">
        <f>'Key Variables'!$H$3/12</f>
        <v>0.83333333333333337</v>
      </c>
      <c r="T4" s="7">
        <f>'Key Variables'!$H$3/12</f>
        <v>0.83333333333333337</v>
      </c>
      <c r="U4" s="7">
        <f>'Key Variables'!$H$3/12</f>
        <v>0.83333333333333337</v>
      </c>
      <c r="V4" s="7">
        <f>'Key Variables'!$H$3/12</f>
        <v>0.83333333333333337</v>
      </c>
      <c r="W4" s="7">
        <f>'Key Variables'!$H$3/12</f>
        <v>0.83333333333333337</v>
      </c>
      <c r="X4" s="7">
        <f>'Key Variables'!$H$3/12</f>
        <v>0.83333333333333337</v>
      </c>
      <c r="Y4" s="7">
        <f>'Key Variables'!$H$3/12</f>
        <v>0.83333333333333337</v>
      </c>
      <c r="Z4" s="7">
        <f>'Key Variables'!$J$3/12</f>
        <v>1.25</v>
      </c>
      <c r="AA4" s="7">
        <f>'Key Variables'!$J$3/12</f>
        <v>1.25</v>
      </c>
      <c r="AB4" s="7">
        <f>'Key Variables'!$J$3/12</f>
        <v>1.25</v>
      </c>
      <c r="AC4" s="7">
        <f>'Key Variables'!$J$3/12</f>
        <v>1.25</v>
      </c>
      <c r="AD4" s="7">
        <f>'Key Variables'!$J$3/12</f>
        <v>1.25</v>
      </c>
      <c r="AE4" s="7">
        <f>'Key Variables'!$J$3/12</f>
        <v>1.25</v>
      </c>
      <c r="AF4" s="7">
        <f>'Key Variables'!$J$3/12</f>
        <v>1.25</v>
      </c>
      <c r="AG4" s="7">
        <f>'Key Variables'!$J$3/12</f>
        <v>1.25</v>
      </c>
      <c r="AH4" s="7">
        <f>'Key Variables'!$J$3/12</f>
        <v>1.25</v>
      </c>
      <c r="AI4" s="7">
        <f>'Key Variables'!$J$3/12</f>
        <v>1.25</v>
      </c>
      <c r="AJ4" s="7">
        <f>'Key Variables'!$J$3/12</f>
        <v>1.25</v>
      </c>
      <c r="AK4" s="68">
        <f>'Key Variables'!$J$3/12</f>
        <v>1.25</v>
      </c>
      <c r="AL4" s="68">
        <f>'Key Variables'!$K$3/12</f>
        <v>1.6666666666666667</v>
      </c>
      <c r="AM4" s="7">
        <f>'Key Variables'!$K$3/12</f>
        <v>1.6666666666666667</v>
      </c>
      <c r="AN4" s="7">
        <f>'Key Variables'!$K$3/12</f>
        <v>1.6666666666666667</v>
      </c>
      <c r="AO4" s="7">
        <f>'Key Variables'!$K$3/12</f>
        <v>1.6666666666666667</v>
      </c>
      <c r="AP4" s="7">
        <f>'Key Variables'!$K$3/12</f>
        <v>1.6666666666666667</v>
      </c>
      <c r="AQ4" s="7">
        <f>'Key Variables'!$K$3/12</f>
        <v>1.6666666666666667</v>
      </c>
      <c r="AR4" s="7">
        <f>'Key Variables'!$K$3/12</f>
        <v>1.6666666666666667</v>
      </c>
      <c r="AS4" s="7">
        <f>'Key Variables'!$K$3/12</f>
        <v>1.6666666666666667</v>
      </c>
      <c r="AT4" s="7">
        <f>'Key Variables'!$K$3/12</f>
        <v>1.6666666666666667</v>
      </c>
      <c r="AU4" s="7">
        <f>'Key Variables'!$K$3/12</f>
        <v>1.6666666666666667</v>
      </c>
      <c r="AV4" s="7">
        <f>'Key Variables'!$K$3/12</f>
        <v>1.6666666666666667</v>
      </c>
      <c r="AW4" s="7">
        <f>'Key Variables'!$K$3/12</f>
        <v>1.6666666666666667</v>
      </c>
    </row>
    <row r="5" spans="1:50" hidden="1" x14ac:dyDescent="0.25">
      <c r="A5" s="13" t="s">
        <v>136</v>
      </c>
      <c r="B5" s="53">
        <f>B4</f>
        <v>0.41666666666666669</v>
      </c>
      <c r="C5" s="53">
        <f t="shared" ref="C5:M5" si="0">B5+C4</f>
        <v>0.83333333333333337</v>
      </c>
      <c r="D5" s="53">
        <f t="shared" si="0"/>
        <v>1.25</v>
      </c>
      <c r="E5" s="53">
        <f t="shared" si="0"/>
        <v>1.6666666666666667</v>
      </c>
      <c r="F5" s="53">
        <f t="shared" si="0"/>
        <v>2.0833333333333335</v>
      </c>
      <c r="G5" s="53">
        <f t="shared" si="0"/>
        <v>2.5</v>
      </c>
      <c r="H5" s="5">
        <f t="shared" si="0"/>
        <v>2.9166666666666665</v>
      </c>
      <c r="I5" s="5">
        <f t="shared" si="0"/>
        <v>3.333333333333333</v>
      </c>
      <c r="J5" s="5">
        <f t="shared" si="0"/>
        <v>3.7499999999999996</v>
      </c>
      <c r="K5" s="5">
        <f t="shared" si="0"/>
        <v>4.1666666666666661</v>
      </c>
      <c r="L5" s="5">
        <f t="shared" si="0"/>
        <v>4.583333333333333</v>
      </c>
      <c r="M5" s="5">
        <f t="shared" si="0"/>
        <v>5</v>
      </c>
      <c r="N5" s="5">
        <f>M5+N4-(B4*'"Fine Tune" Variables'!$G$9)</f>
        <v>5.833333333333333</v>
      </c>
      <c r="O5" s="5">
        <f>N5+O4-(C4*'"Fine Tune" Variables'!$G$9)</f>
        <v>6.6666666666666661</v>
      </c>
      <c r="P5" s="5">
        <f>O5+P4-(D4*'"Fine Tune" Variables'!$G$9)</f>
        <v>7.4999999999999991</v>
      </c>
      <c r="Q5" s="5">
        <f>P5+Q4-(E4*'"Fine Tune" Variables'!$G$9)</f>
        <v>8.3333333333333321</v>
      </c>
      <c r="R5" s="5">
        <f>Q5+R4-(F4*'"Fine Tune" Variables'!$G$9)</f>
        <v>9.1666666666666661</v>
      </c>
      <c r="S5" s="5">
        <f>R5+S4-(G4*'"Fine Tune" Variables'!$G$9)</f>
        <v>10</v>
      </c>
      <c r="T5" s="5">
        <f>S5+T4-(H4*'"Fine Tune" Variables'!$G$9)</f>
        <v>10.833333333333334</v>
      </c>
      <c r="U5" s="5">
        <f>T5+U4-(I4*'"Fine Tune" Variables'!$G$9)</f>
        <v>11.666666666666668</v>
      </c>
      <c r="V5" s="5">
        <f>U5+V4-(J4*'"Fine Tune" Variables'!$G$9)</f>
        <v>12.500000000000002</v>
      </c>
      <c r="W5" s="5">
        <f>V5+W4-(K4*'"Fine Tune" Variables'!$G$9)</f>
        <v>13.333333333333336</v>
      </c>
      <c r="X5" s="5">
        <f>W5+X4-(L4*'"Fine Tune" Variables'!$G$9)</f>
        <v>14.16666666666667</v>
      </c>
      <c r="Y5" s="5">
        <f>X5+Y4-(M4*'"Fine Tune" Variables'!$G$9)</f>
        <v>15.000000000000004</v>
      </c>
      <c r="Z5" s="5">
        <f>Y5+Z4-(N4*'"Fine Tune" Variables'!$G$9)</f>
        <v>16.250000000000004</v>
      </c>
      <c r="AA5" s="5">
        <f>Z5+AA4-(O4*'"Fine Tune" Variables'!$G$9)</f>
        <v>17.500000000000004</v>
      </c>
      <c r="AB5" s="5">
        <f>AA5+AB4-(P4*'"Fine Tune" Variables'!$G$9)</f>
        <v>18.750000000000004</v>
      </c>
      <c r="AC5" s="5">
        <f>AB5+AC4-(Q4*'"Fine Tune" Variables'!$G$9)</f>
        <v>20.000000000000004</v>
      </c>
      <c r="AD5" s="5">
        <f>AC5+AD4-(R4*'"Fine Tune" Variables'!$G$9)</f>
        <v>21.250000000000004</v>
      </c>
      <c r="AE5" s="5">
        <f>AD5+AE4-(S4*'"Fine Tune" Variables'!$G$9)</f>
        <v>22.500000000000004</v>
      </c>
      <c r="AF5" s="5">
        <f>AE5+AF4-(T4*'"Fine Tune" Variables'!$G$9)</f>
        <v>23.750000000000004</v>
      </c>
      <c r="AG5" s="5">
        <f>AF5+AG4-(U4*'"Fine Tune" Variables'!$G$9)</f>
        <v>25.000000000000004</v>
      </c>
      <c r="AH5" s="5">
        <f>AG5+AH4-(V4*'"Fine Tune" Variables'!$G$9)</f>
        <v>26.250000000000004</v>
      </c>
      <c r="AI5" s="5">
        <f>AH5+AI4-(W4*'"Fine Tune" Variables'!$G$9)</f>
        <v>27.500000000000004</v>
      </c>
      <c r="AJ5" s="5">
        <f>AI5+AJ4-(X4*'"Fine Tune" Variables'!$G$9)</f>
        <v>28.750000000000004</v>
      </c>
      <c r="AK5" s="68">
        <f>AJ5+AK4-(Y4*'"Fine Tune" Variables'!$G$9)</f>
        <v>30.000000000000004</v>
      </c>
      <c r="AL5" s="68">
        <f>AK5+AL4-(Z4*'"Fine Tune" Variables'!$G$9)</f>
        <v>31.666666666666671</v>
      </c>
      <c r="AM5" s="5">
        <f>AL5+AM4-(AA4*'"Fine Tune" Variables'!$G$9)</f>
        <v>33.333333333333336</v>
      </c>
      <c r="AN5" s="5">
        <f>AM5+AN4-(AB4*'"Fine Tune" Variables'!$G$9)</f>
        <v>35</v>
      </c>
      <c r="AO5" s="5">
        <f>AN5+AO4-(AC4*'"Fine Tune" Variables'!$G$9)</f>
        <v>36.666666666666664</v>
      </c>
      <c r="AP5" s="5">
        <f>AO5+AP4-(AD4*'"Fine Tune" Variables'!$G$9)</f>
        <v>38.333333333333329</v>
      </c>
      <c r="AQ5" s="5">
        <f>AP5+AQ4-(AE4*'"Fine Tune" Variables'!$G$9)</f>
        <v>39.999999999999993</v>
      </c>
      <c r="AR5" s="5">
        <f>AQ5+AR4-(AF4*'"Fine Tune" Variables'!$G$9)</f>
        <v>41.666666666666657</v>
      </c>
      <c r="AS5" s="5">
        <f>AR5+AS4-(AG4*'"Fine Tune" Variables'!$G$9)</f>
        <v>43.333333333333321</v>
      </c>
      <c r="AT5" s="5">
        <f>AS5+AT4-(AH4*'"Fine Tune" Variables'!$G$9)</f>
        <v>44.999999999999986</v>
      </c>
      <c r="AU5" s="5">
        <f>AT5+AU4-(AI4*'"Fine Tune" Variables'!$G$9)</f>
        <v>46.66666666666665</v>
      </c>
      <c r="AV5" s="5">
        <f>AU5+AV4-(AJ4*'"Fine Tune" Variables'!$G$9)</f>
        <v>48.333333333333314</v>
      </c>
      <c r="AW5" s="5">
        <f>AV5+AW4-(AK4*'"Fine Tune" Variables'!$G$9)</f>
        <v>49.999999999999979</v>
      </c>
    </row>
    <row r="6" spans="1:50" hidden="1" x14ac:dyDescent="0.25">
      <c r="A6" s="13"/>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50" hidden="1" x14ac:dyDescent="0.25">
      <c r="A7" s="13" t="s">
        <v>137</v>
      </c>
      <c r="B7" s="53">
        <f>B5*'Key Variables'!$K$94</f>
        <v>0.41666666666666669</v>
      </c>
      <c r="C7" s="5">
        <f>C5*'Key Variables'!$K$94</f>
        <v>0.83333333333333337</v>
      </c>
      <c r="D7" s="5">
        <f>D5*'Key Variables'!$K$94</f>
        <v>1.25</v>
      </c>
      <c r="E7" s="5">
        <f>E5*'Key Variables'!$K$94</f>
        <v>1.6666666666666667</v>
      </c>
      <c r="F7" s="5">
        <f>F5*'Key Variables'!$K$94</f>
        <v>2.0833333333333335</v>
      </c>
      <c r="G7" s="5">
        <f>G5*'Key Variables'!$K$94</f>
        <v>2.5</v>
      </c>
      <c r="H7" s="5">
        <f>H5*'Key Variables'!$K$94</f>
        <v>2.9166666666666665</v>
      </c>
      <c r="I7" s="5">
        <f>I5*'Key Variables'!$K$94</f>
        <v>3.333333333333333</v>
      </c>
      <c r="J7" s="5">
        <f>J5*'Key Variables'!$K$94</f>
        <v>3.7499999999999996</v>
      </c>
      <c r="K7" s="5">
        <f>K5*'Key Variables'!$K$94</f>
        <v>4.1666666666666661</v>
      </c>
      <c r="L7" s="5">
        <f>L5*'Key Variables'!$K$94</f>
        <v>4.583333333333333</v>
      </c>
      <c r="M7" s="5">
        <f>M5*'Key Variables'!$K$94</f>
        <v>5</v>
      </c>
      <c r="N7" s="5">
        <f>N5*'Key Variables'!$K$94</f>
        <v>5.833333333333333</v>
      </c>
      <c r="O7" s="5">
        <f>O5*'Key Variables'!$K$94</f>
        <v>6.6666666666666661</v>
      </c>
      <c r="P7" s="5">
        <f>P5*'Key Variables'!$K$94</f>
        <v>7.4999999999999991</v>
      </c>
      <c r="Q7" s="5">
        <f>Q5*'Key Variables'!$K$94</f>
        <v>8.3333333333333321</v>
      </c>
      <c r="R7" s="5">
        <f>R5*'Key Variables'!$K$94</f>
        <v>9.1666666666666661</v>
      </c>
      <c r="S7" s="5">
        <f>S5*'Key Variables'!$K$94</f>
        <v>10</v>
      </c>
      <c r="T7" s="5">
        <f>T5*'Key Variables'!$K$94</f>
        <v>10.833333333333334</v>
      </c>
      <c r="U7" s="5">
        <f>U5*'Key Variables'!$K$94</f>
        <v>11.666666666666668</v>
      </c>
      <c r="V7" s="5">
        <f>V5*'Key Variables'!$K$94</f>
        <v>12.500000000000002</v>
      </c>
      <c r="W7" s="5">
        <f>W5*'Key Variables'!$K$94</f>
        <v>13.333333333333336</v>
      </c>
      <c r="X7" s="5">
        <f>X5*'Key Variables'!$K$94</f>
        <v>14.16666666666667</v>
      </c>
      <c r="Y7" s="5">
        <f>Y5*'Key Variables'!$K$94</f>
        <v>15.000000000000004</v>
      </c>
      <c r="Z7" s="5">
        <f>Z5*'Key Variables'!$K$94</f>
        <v>16.250000000000004</v>
      </c>
      <c r="AA7" s="5">
        <f>AA5*'Key Variables'!$K$94</f>
        <v>17.500000000000004</v>
      </c>
      <c r="AB7" s="5">
        <f>AB5*'Key Variables'!$K$94</f>
        <v>18.750000000000004</v>
      </c>
      <c r="AC7" s="5">
        <f>AC5*'Key Variables'!$K$94</f>
        <v>20.000000000000004</v>
      </c>
      <c r="AD7" s="5">
        <f>AD5*'Key Variables'!$K$94</f>
        <v>21.250000000000004</v>
      </c>
      <c r="AE7" s="5">
        <f>AE5*'Key Variables'!$K$94</f>
        <v>22.500000000000004</v>
      </c>
      <c r="AF7" s="5">
        <f>AF5*'Key Variables'!$K$94</f>
        <v>23.750000000000004</v>
      </c>
      <c r="AG7" s="5">
        <f>AG5*'Key Variables'!$K$94</f>
        <v>25.000000000000004</v>
      </c>
      <c r="AH7" s="5">
        <f>AH5*'Key Variables'!$K$94</f>
        <v>26.250000000000004</v>
      </c>
      <c r="AI7" s="5">
        <f>AI5*'Key Variables'!$K$94</f>
        <v>27.500000000000004</v>
      </c>
      <c r="AJ7" s="5">
        <f>AJ5*'Key Variables'!$K$94</f>
        <v>28.750000000000004</v>
      </c>
      <c r="AK7" s="5">
        <f>AK5*'Key Variables'!$K$94</f>
        <v>30.000000000000004</v>
      </c>
      <c r="AL7" s="5">
        <f>AL5*'Key Variables'!$K$94</f>
        <v>31.666666666666671</v>
      </c>
      <c r="AM7" s="5">
        <f>AM5*'Key Variables'!$K$94</f>
        <v>33.333333333333336</v>
      </c>
      <c r="AN7" s="5">
        <f>AN5*'Key Variables'!$K$94</f>
        <v>35</v>
      </c>
      <c r="AO7" s="5">
        <f>AO5*'Key Variables'!$K$94</f>
        <v>36.666666666666664</v>
      </c>
      <c r="AP7" s="5">
        <f>AP5*'Key Variables'!$K$94</f>
        <v>38.333333333333329</v>
      </c>
      <c r="AQ7" s="5">
        <f>AQ5*'Key Variables'!$K$94</f>
        <v>39.999999999999993</v>
      </c>
      <c r="AR7" s="5">
        <f>AR5*'Key Variables'!$K$94</f>
        <v>41.666666666666657</v>
      </c>
      <c r="AS7" s="5">
        <f>AS5*'Key Variables'!$K$94</f>
        <v>43.333333333333321</v>
      </c>
      <c r="AT7" s="5">
        <f>AT5*'Key Variables'!$K$94</f>
        <v>44.999999999999986</v>
      </c>
      <c r="AU7" s="5">
        <f>AU5*'Key Variables'!$K$94</f>
        <v>46.66666666666665</v>
      </c>
      <c r="AV7" s="5">
        <f>AV5*'Key Variables'!$K$94</f>
        <v>48.333333333333314</v>
      </c>
      <c r="AW7" s="5">
        <f>AW5*'Key Variables'!$K$94</f>
        <v>49.999999999999979</v>
      </c>
    </row>
    <row r="8" spans="1:50" hidden="1" x14ac:dyDescent="0.25">
      <c r="A8" s="13"/>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row>
    <row r="9" spans="1:50" hidden="1" x14ac:dyDescent="0.25">
      <c r="A9" s="13" t="s">
        <v>138</v>
      </c>
      <c r="B9" s="51">
        <f>B5*'Key Variables'!$E$56/100</f>
        <v>0.10416666666666669</v>
      </c>
      <c r="C9" s="51">
        <f>C5*'Key Variables'!$E$56/100</f>
        <v>0.20833333333333337</v>
      </c>
      <c r="D9" s="51">
        <f>D5*'Key Variables'!$E$56/100</f>
        <v>0.3125</v>
      </c>
      <c r="E9" s="5">
        <f>E5*'Key Variables'!$E$56/100</f>
        <v>0.41666666666666674</v>
      </c>
      <c r="F9" s="5">
        <f>F5*'Key Variables'!$E$56/100</f>
        <v>0.52083333333333337</v>
      </c>
      <c r="G9" s="5">
        <f>G5*'Key Variables'!$E$56/100</f>
        <v>0.625</v>
      </c>
      <c r="H9" s="5">
        <f>H5*'Key Variables'!$E$56/100</f>
        <v>0.72916666666666652</v>
      </c>
      <c r="I9" s="5">
        <f>I5*'Key Variables'!$E$56/100</f>
        <v>0.83333333333333326</v>
      </c>
      <c r="J9" s="5">
        <f>J5*'Key Variables'!$E$56/100</f>
        <v>0.93749999999999989</v>
      </c>
      <c r="K9" s="5">
        <f>K5*'Key Variables'!$E$56/100</f>
        <v>1.0416666666666665</v>
      </c>
      <c r="L9" s="5">
        <f>L5*'Key Variables'!$E$56/100</f>
        <v>1.1458333333333333</v>
      </c>
      <c r="M9" s="5">
        <f>M5*'Key Variables'!$E$56/100</f>
        <v>1.25</v>
      </c>
      <c r="N9" s="5">
        <f>N5*'Key Variables'!$E$56/100</f>
        <v>1.458333333333333</v>
      </c>
      <c r="O9" s="5">
        <f>O5*'Key Variables'!$E$56/100</f>
        <v>1.6666666666666665</v>
      </c>
      <c r="P9" s="5">
        <f>P5*'Key Variables'!$E$56/100</f>
        <v>1.8749999999999998</v>
      </c>
      <c r="Q9" s="5">
        <f>Q5*'Key Variables'!$E$56/100</f>
        <v>2.083333333333333</v>
      </c>
      <c r="R9" s="5">
        <f>R5*'Key Variables'!$E$56/100</f>
        <v>2.2916666666666665</v>
      </c>
      <c r="S9" s="5">
        <f>S5*'Key Variables'!$E$56/100</f>
        <v>2.5</v>
      </c>
      <c r="T9" s="5">
        <f>T5*'Key Variables'!$E$56/100</f>
        <v>2.7083333333333339</v>
      </c>
      <c r="U9" s="5">
        <f>U5*'Key Variables'!$E$56/100</f>
        <v>2.916666666666667</v>
      </c>
      <c r="V9" s="5">
        <f>V5*'Key Variables'!$E$56/100</f>
        <v>3.1250000000000004</v>
      </c>
      <c r="W9" s="5">
        <f>W5*'Key Variables'!$E$56/100</f>
        <v>3.3333333333333339</v>
      </c>
      <c r="X9" s="5">
        <f>X5*'Key Variables'!$E$56/100</f>
        <v>3.5416666666666674</v>
      </c>
      <c r="Y9" s="5">
        <f>Y5*'Key Variables'!$E$56/100</f>
        <v>3.7500000000000013</v>
      </c>
      <c r="Z9" s="5">
        <f>Z5*'Key Variables'!$E$56/100</f>
        <v>4.0625000000000009</v>
      </c>
      <c r="AA9" s="5">
        <f>AA5*'Key Variables'!$E$56/100</f>
        <v>4.3750000000000009</v>
      </c>
      <c r="AB9" s="5">
        <f>AB5*'Key Variables'!$E$56/100</f>
        <v>4.6875000000000009</v>
      </c>
      <c r="AC9" s="5">
        <f>AC5*'Key Variables'!$E$56/100</f>
        <v>5.0000000000000009</v>
      </c>
      <c r="AD9" s="5">
        <f>AD5*'Key Variables'!$E$56/100</f>
        <v>5.3125000000000009</v>
      </c>
      <c r="AE9" s="5">
        <f>AE5*'Key Variables'!$E$56/100</f>
        <v>5.6250000000000009</v>
      </c>
      <c r="AF9" s="5">
        <f>AF5*'Key Variables'!$E$56/100</f>
        <v>5.9375000000000009</v>
      </c>
      <c r="AG9" s="5">
        <f>AG5*'Key Variables'!$E$56/100</f>
        <v>6.2500000000000009</v>
      </c>
      <c r="AH9" s="5">
        <f>AH5*'Key Variables'!$E$56/100</f>
        <v>6.5625000000000009</v>
      </c>
      <c r="AI9" s="5">
        <f>AI5*'Key Variables'!$E$56/100</f>
        <v>6.8750000000000009</v>
      </c>
      <c r="AJ9" s="5">
        <f>AJ5*'Key Variables'!$E$56/100</f>
        <v>7.1875000000000009</v>
      </c>
      <c r="AK9" s="5">
        <f>AK5*'Key Variables'!$E$56/100</f>
        <v>7.5000000000000009</v>
      </c>
      <c r="AL9" s="5">
        <f>AL5*'Key Variables'!$E$56/100</f>
        <v>7.9166666666666679</v>
      </c>
      <c r="AM9" s="5">
        <f>AM5*'Key Variables'!$E$56/100</f>
        <v>8.3333333333333339</v>
      </c>
      <c r="AN9" s="5">
        <f>AN5*'Key Variables'!$E$56/100</f>
        <v>8.75</v>
      </c>
      <c r="AO9" s="5">
        <f>AO5*'Key Variables'!$E$56/100</f>
        <v>9.1666666666666661</v>
      </c>
      <c r="AP9" s="5">
        <f>AP5*'Key Variables'!$E$56/100</f>
        <v>9.5833333333333321</v>
      </c>
      <c r="AQ9" s="5">
        <f>AQ5*'Key Variables'!$E$56/100</f>
        <v>9.9999999999999982</v>
      </c>
      <c r="AR9" s="5">
        <f>AR5*'Key Variables'!$E$56/100</f>
        <v>10.416666666666664</v>
      </c>
      <c r="AS9" s="5">
        <f>AS5*'Key Variables'!$E$56/100</f>
        <v>10.83333333333333</v>
      </c>
      <c r="AT9" s="5">
        <f>AT5*'Key Variables'!$E$56/100</f>
        <v>11.249999999999995</v>
      </c>
      <c r="AU9" s="5">
        <f>AU5*'Key Variables'!$E$56/100</f>
        <v>11.666666666666663</v>
      </c>
      <c r="AV9" s="5">
        <f>AV5*'Key Variables'!$E$56/100</f>
        <v>12.083333333333329</v>
      </c>
      <c r="AW9" s="5">
        <f>AW5*'Key Variables'!$E$56/100</f>
        <v>12.499999999999995</v>
      </c>
      <c r="AX9" s="71">
        <f>AW9/$AW$5</f>
        <v>0.25</v>
      </c>
    </row>
    <row r="10" spans="1:50" hidden="1" x14ac:dyDescent="0.25">
      <c r="A10" s="13" t="s">
        <v>144</v>
      </c>
      <c r="B10" s="51">
        <f>B5*'Key Variables'!$E$57/100</f>
        <v>0</v>
      </c>
      <c r="C10" s="51">
        <f>C5*'Key Variables'!$E$57/100</f>
        <v>0</v>
      </c>
      <c r="D10" s="51">
        <f>D5*'Key Variables'!$E$57/100</f>
        <v>0</v>
      </c>
      <c r="E10" s="51">
        <f>E5*'Key Variables'!$E$57/100</f>
        <v>0</v>
      </c>
      <c r="F10" s="51">
        <f>F5*'Key Variables'!$E$57/100</f>
        <v>0</v>
      </c>
      <c r="G10" s="51">
        <f>G5*'Key Variables'!$E$57/100</f>
        <v>0</v>
      </c>
      <c r="H10" s="51">
        <f>H5*'Key Variables'!$E$57/100</f>
        <v>0</v>
      </c>
      <c r="I10" s="51">
        <f>I5*'Key Variables'!$E$57/100</f>
        <v>0</v>
      </c>
      <c r="J10" s="51">
        <f>J5*'Key Variables'!$E$57/100</f>
        <v>0</v>
      </c>
      <c r="K10" s="51">
        <f>K5*'Key Variables'!$E$57/100</f>
        <v>0</v>
      </c>
      <c r="L10" s="51">
        <f>L5*'Key Variables'!$E$57/100</f>
        <v>0</v>
      </c>
      <c r="M10" s="51">
        <f>M5*'Key Variables'!$E$57/100</f>
        <v>0</v>
      </c>
      <c r="N10" s="51">
        <f>N5*'Key Variables'!$E$57/100</f>
        <v>0</v>
      </c>
      <c r="O10" s="51">
        <f>O5*'Key Variables'!$E$57/100</f>
        <v>0</v>
      </c>
      <c r="P10" s="51">
        <f>P5*'Key Variables'!$E$57/100</f>
        <v>0</v>
      </c>
      <c r="Q10" s="51">
        <f>Q5*'Key Variables'!$E$57/100</f>
        <v>0</v>
      </c>
      <c r="R10" s="51">
        <f>R5*'Key Variables'!$E$57/100</f>
        <v>0</v>
      </c>
      <c r="S10" s="51">
        <f>S5*'Key Variables'!$E$57/100</f>
        <v>0</v>
      </c>
      <c r="T10" s="51">
        <f>T5*'Key Variables'!$E$57/100</f>
        <v>0</v>
      </c>
      <c r="U10" s="51">
        <f>U5*'Key Variables'!$E$57/100</f>
        <v>0</v>
      </c>
      <c r="V10" s="51">
        <f>V5*'Key Variables'!$E$57/100</f>
        <v>0</v>
      </c>
      <c r="W10" s="51">
        <f>W5*'Key Variables'!$E$57/100</f>
        <v>0</v>
      </c>
      <c r="X10" s="51">
        <f>X5*'Key Variables'!$E$57/100</f>
        <v>0</v>
      </c>
      <c r="Y10" s="51">
        <f>Y5*'Key Variables'!$E$57/100</f>
        <v>0</v>
      </c>
      <c r="Z10" s="51">
        <f>Z5*'Key Variables'!$E$57/100</f>
        <v>0</v>
      </c>
      <c r="AA10" s="51">
        <f>AA5*'Key Variables'!$E$57/100</f>
        <v>0</v>
      </c>
      <c r="AB10" s="51">
        <f>AB5*'Key Variables'!$E$57/100</f>
        <v>0</v>
      </c>
      <c r="AC10" s="51">
        <f>AC5*'Key Variables'!$E$57/100</f>
        <v>0</v>
      </c>
      <c r="AD10" s="51">
        <f>AD5*'Key Variables'!$E$57/100</f>
        <v>0</v>
      </c>
      <c r="AE10" s="51">
        <f>AE5*'Key Variables'!$E$57/100</f>
        <v>0</v>
      </c>
      <c r="AF10" s="51">
        <f>AF5*'Key Variables'!$E$57/100</f>
        <v>0</v>
      </c>
      <c r="AG10" s="51">
        <f>AG5*'Key Variables'!$E$57/100</f>
        <v>0</v>
      </c>
      <c r="AH10" s="51">
        <f>AH5*'Key Variables'!$E$57/100</f>
        <v>0</v>
      </c>
      <c r="AI10" s="51">
        <f>AI5*'Key Variables'!$E$57/100</f>
        <v>0</v>
      </c>
      <c r="AJ10" s="51">
        <f>AJ5*'Key Variables'!$E$57/100</f>
        <v>0</v>
      </c>
      <c r="AK10" s="51">
        <f>AK5*'Key Variables'!$E$57/100</f>
        <v>0</v>
      </c>
      <c r="AL10" s="51">
        <f>AL5*'Key Variables'!$E$57/100</f>
        <v>0</v>
      </c>
      <c r="AM10" s="51">
        <f>AM5*'Key Variables'!$E$57/100</f>
        <v>0</v>
      </c>
      <c r="AN10" s="51">
        <f>AN5*'Key Variables'!$E$57/100</f>
        <v>0</v>
      </c>
      <c r="AO10" s="51">
        <f>AO5*'Key Variables'!$E$57/100</f>
        <v>0</v>
      </c>
      <c r="AP10" s="51">
        <f>AP5*'Key Variables'!$E$57/100</f>
        <v>0</v>
      </c>
      <c r="AQ10" s="51">
        <f>AQ5*'Key Variables'!$E$57/100</f>
        <v>0</v>
      </c>
      <c r="AR10" s="51">
        <f>AR5*'Key Variables'!$E$57/100</f>
        <v>0</v>
      </c>
      <c r="AS10" s="51">
        <f>AS5*'Key Variables'!$E$57/100</f>
        <v>0</v>
      </c>
      <c r="AT10" s="51">
        <f>AT5*'Key Variables'!$E$57/100</f>
        <v>0</v>
      </c>
      <c r="AU10" s="51">
        <f>AU5*'Key Variables'!$E$57/100</f>
        <v>0</v>
      </c>
      <c r="AV10" s="51">
        <f>AV5*'Key Variables'!$E$57/100</f>
        <v>0</v>
      </c>
      <c r="AW10" s="51">
        <f>AW5*'Key Variables'!$E$57/100</f>
        <v>0</v>
      </c>
      <c r="AX10" s="71">
        <f t="shared" ref="AX10:AX13" si="1">AW10/$AW$5</f>
        <v>0</v>
      </c>
    </row>
    <row r="11" spans="1:50" hidden="1" x14ac:dyDescent="0.25">
      <c r="A11" s="13" t="s">
        <v>145</v>
      </c>
      <c r="B11" s="51">
        <f>B5*'Key Variables'!$E$58/100</f>
        <v>0.20833333333333337</v>
      </c>
      <c r="C11" s="51">
        <f>C5*'Key Variables'!$E$58/100</f>
        <v>0.41666666666666674</v>
      </c>
      <c r="D11" s="51">
        <f>D5*'Key Variables'!$E$58/100</f>
        <v>0.625</v>
      </c>
      <c r="E11" s="51">
        <f>E5*'Key Variables'!$E$58/100</f>
        <v>0.83333333333333348</v>
      </c>
      <c r="F11" s="51">
        <f>F5*'Key Variables'!$E$58/100</f>
        <v>1.0416666666666667</v>
      </c>
      <c r="G11" s="51">
        <f>G5*'Key Variables'!$E$58/100</f>
        <v>1.25</v>
      </c>
      <c r="H11" s="51">
        <f>H5*'Key Variables'!$E$58/100</f>
        <v>1.458333333333333</v>
      </c>
      <c r="I11" s="51">
        <f>I5*'Key Variables'!$E$58/100</f>
        <v>1.6666666666666665</v>
      </c>
      <c r="J11" s="51">
        <f>J5*'Key Variables'!$E$58/100</f>
        <v>1.8749999999999998</v>
      </c>
      <c r="K11" s="51">
        <f>K5*'Key Variables'!$E$58/100</f>
        <v>2.083333333333333</v>
      </c>
      <c r="L11" s="51">
        <f>L5*'Key Variables'!$E$58/100</f>
        <v>2.2916666666666665</v>
      </c>
      <c r="M11" s="51">
        <f>M5*'Key Variables'!$E$58/100</f>
        <v>2.5</v>
      </c>
      <c r="N11" s="51">
        <f>N5*'Key Variables'!$E$58/100</f>
        <v>2.9166666666666661</v>
      </c>
      <c r="O11" s="51">
        <f>O5*'Key Variables'!$E$58/100</f>
        <v>3.333333333333333</v>
      </c>
      <c r="P11" s="51">
        <f>P5*'Key Variables'!$E$58/100</f>
        <v>3.7499999999999996</v>
      </c>
      <c r="Q11" s="51">
        <f>Q5*'Key Variables'!$E$58/100</f>
        <v>4.1666666666666661</v>
      </c>
      <c r="R11" s="51">
        <f>R5*'Key Variables'!$E$58/100</f>
        <v>4.583333333333333</v>
      </c>
      <c r="S11" s="51">
        <f>S5*'Key Variables'!$E$58/100</f>
        <v>5</v>
      </c>
      <c r="T11" s="51">
        <f>T5*'Key Variables'!$E$58/100</f>
        <v>5.4166666666666679</v>
      </c>
      <c r="U11" s="51">
        <f>U5*'Key Variables'!$E$58/100</f>
        <v>5.8333333333333339</v>
      </c>
      <c r="V11" s="51">
        <f>V5*'Key Variables'!$E$58/100</f>
        <v>6.2500000000000009</v>
      </c>
      <c r="W11" s="51">
        <f>W5*'Key Variables'!$E$58/100</f>
        <v>6.6666666666666679</v>
      </c>
      <c r="X11" s="51">
        <f>X5*'Key Variables'!$E$58/100</f>
        <v>7.0833333333333348</v>
      </c>
      <c r="Y11" s="51">
        <f>Y5*'Key Variables'!$E$58/100</f>
        <v>7.5000000000000027</v>
      </c>
      <c r="Z11" s="51">
        <f>Z5*'Key Variables'!$E$58/100</f>
        <v>8.1250000000000018</v>
      </c>
      <c r="AA11" s="51">
        <f>AA5*'Key Variables'!$E$58/100</f>
        <v>8.7500000000000018</v>
      </c>
      <c r="AB11" s="51">
        <f>AB5*'Key Variables'!$E$58/100</f>
        <v>9.3750000000000018</v>
      </c>
      <c r="AC11" s="51">
        <f>AC5*'Key Variables'!$E$58/100</f>
        <v>10.000000000000002</v>
      </c>
      <c r="AD11" s="51">
        <f>AD5*'Key Variables'!$E$58/100</f>
        <v>10.625000000000002</v>
      </c>
      <c r="AE11" s="51">
        <f>AE5*'Key Variables'!$E$58/100</f>
        <v>11.250000000000002</v>
      </c>
      <c r="AF11" s="51">
        <f>AF5*'Key Variables'!$E$58/100</f>
        <v>11.875000000000002</v>
      </c>
      <c r="AG11" s="51">
        <f>AG5*'Key Variables'!$E$58/100</f>
        <v>12.500000000000002</v>
      </c>
      <c r="AH11" s="51">
        <f>AH5*'Key Variables'!$E$58/100</f>
        <v>13.125000000000002</v>
      </c>
      <c r="AI11" s="51">
        <f>AI5*'Key Variables'!$E$58/100</f>
        <v>13.750000000000002</v>
      </c>
      <c r="AJ11" s="51">
        <f>AJ5*'Key Variables'!$E$58/100</f>
        <v>14.375000000000002</v>
      </c>
      <c r="AK11" s="51">
        <f>AK5*'Key Variables'!$E$58/100</f>
        <v>15.000000000000002</v>
      </c>
      <c r="AL11" s="51">
        <f>AL5*'Key Variables'!$E$58/100</f>
        <v>15.833333333333336</v>
      </c>
      <c r="AM11" s="51">
        <f>AM5*'Key Variables'!$E$58/100</f>
        <v>16.666666666666668</v>
      </c>
      <c r="AN11" s="51">
        <f>AN5*'Key Variables'!$E$58/100</f>
        <v>17.5</v>
      </c>
      <c r="AO11" s="51">
        <f>AO5*'Key Variables'!$E$58/100</f>
        <v>18.333333333333332</v>
      </c>
      <c r="AP11" s="51">
        <f>AP5*'Key Variables'!$E$58/100</f>
        <v>19.166666666666664</v>
      </c>
      <c r="AQ11" s="51">
        <f>AQ5*'Key Variables'!$E$58/100</f>
        <v>19.999999999999996</v>
      </c>
      <c r="AR11" s="51">
        <f>AR5*'Key Variables'!$E$58/100</f>
        <v>20.833333333333329</v>
      </c>
      <c r="AS11" s="51">
        <f>AS5*'Key Variables'!$E$58/100</f>
        <v>21.666666666666661</v>
      </c>
      <c r="AT11" s="51">
        <f>AT5*'Key Variables'!$E$58/100</f>
        <v>22.499999999999989</v>
      </c>
      <c r="AU11" s="51">
        <f>AU5*'Key Variables'!$E$58/100</f>
        <v>23.333333333333325</v>
      </c>
      <c r="AV11" s="51">
        <f>AV5*'Key Variables'!$E$58/100</f>
        <v>24.166666666666657</v>
      </c>
      <c r="AW11" s="51">
        <f>AW5*'Key Variables'!$E$58/100</f>
        <v>24.999999999999989</v>
      </c>
      <c r="AX11" s="71">
        <f t="shared" si="1"/>
        <v>0.5</v>
      </c>
    </row>
    <row r="12" spans="1:50" hidden="1" x14ac:dyDescent="0.25">
      <c r="A12" s="13" t="s">
        <v>162</v>
      </c>
      <c r="B12" s="51">
        <f>B5*'Key Variables'!$E$60/100</f>
        <v>0.41666666666666674</v>
      </c>
      <c r="C12" s="51">
        <f>C5*'Key Variables'!$E$60/100</f>
        <v>0.83333333333333348</v>
      </c>
      <c r="D12" s="51">
        <f>D5*'Key Variables'!$E$60/100</f>
        <v>1.25</v>
      </c>
      <c r="E12" s="51">
        <f>E5*'Key Variables'!$E$60/100</f>
        <v>1.666666666666667</v>
      </c>
      <c r="F12" s="51">
        <f>F5*'Key Variables'!$E$60/100</f>
        <v>2.0833333333333335</v>
      </c>
      <c r="G12" s="51">
        <f>G5*'Key Variables'!$E$60/100</f>
        <v>2.5</v>
      </c>
      <c r="H12" s="51">
        <f>H5*'Key Variables'!$E$60/100</f>
        <v>2.9166666666666661</v>
      </c>
      <c r="I12" s="51">
        <f>I5*'Key Variables'!$E$60/100</f>
        <v>3.333333333333333</v>
      </c>
      <c r="J12" s="51">
        <f>J5*'Key Variables'!$E$60/100</f>
        <v>3.7499999999999996</v>
      </c>
      <c r="K12" s="51">
        <f>K5*'Key Variables'!$E$60/100</f>
        <v>4.1666666666666661</v>
      </c>
      <c r="L12" s="51">
        <f>L5*'Key Variables'!$E$60/100</f>
        <v>4.583333333333333</v>
      </c>
      <c r="M12" s="51">
        <f>M5*'Key Variables'!$E$60/100</f>
        <v>5</v>
      </c>
      <c r="N12" s="51">
        <f>N5*'Key Variables'!$E$60/100</f>
        <v>5.8333333333333321</v>
      </c>
      <c r="O12" s="51">
        <f>O5*'Key Variables'!$E$60/100</f>
        <v>6.6666666666666661</v>
      </c>
      <c r="P12" s="51">
        <f>P5*'Key Variables'!$E$60/100</f>
        <v>7.4999999999999991</v>
      </c>
      <c r="Q12" s="51">
        <f>Q5*'Key Variables'!$E$60/100</f>
        <v>8.3333333333333321</v>
      </c>
      <c r="R12" s="51">
        <f>R5*'Key Variables'!$E$60/100</f>
        <v>9.1666666666666661</v>
      </c>
      <c r="S12" s="51">
        <f>S5*'Key Variables'!$E$60/100</f>
        <v>10</v>
      </c>
      <c r="T12" s="51">
        <f>T5*'Key Variables'!$E$60/100</f>
        <v>10.833333333333336</v>
      </c>
      <c r="U12" s="51">
        <f>U5*'Key Variables'!$E$60/100</f>
        <v>11.666666666666668</v>
      </c>
      <c r="V12" s="51">
        <f>V5*'Key Variables'!$E$60/100</f>
        <v>12.500000000000002</v>
      </c>
      <c r="W12" s="51">
        <f>W5*'Key Variables'!$E$60/100</f>
        <v>13.333333333333336</v>
      </c>
      <c r="X12" s="51">
        <f>X5*'Key Variables'!$E$60/100</f>
        <v>14.16666666666667</v>
      </c>
      <c r="Y12" s="51">
        <f>Y5*'Key Variables'!$E$60/100</f>
        <v>15.000000000000005</v>
      </c>
      <c r="Z12" s="51">
        <f>Z5*'Key Variables'!$E$60/100</f>
        <v>16.250000000000004</v>
      </c>
      <c r="AA12" s="51">
        <f>AA5*'Key Variables'!$E$60/100</f>
        <v>17.500000000000004</v>
      </c>
      <c r="AB12" s="51">
        <f>AB5*'Key Variables'!$E$60/100</f>
        <v>18.750000000000004</v>
      </c>
      <c r="AC12" s="51">
        <f>AC5*'Key Variables'!$E$60/100</f>
        <v>20.000000000000004</v>
      </c>
      <c r="AD12" s="51">
        <f>AD5*'Key Variables'!$E$60/100</f>
        <v>21.250000000000004</v>
      </c>
      <c r="AE12" s="51">
        <f>AE5*'Key Variables'!$E$60/100</f>
        <v>22.500000000000004</v>
      </c>
      <c r="AF12" s="51">
        <f>AF5*'Key Variables'!$E$60/100</f>
        <v>23.750000000000004</v>
      </c>
      <c r="AG12" s="51">
        <f>AG5*'Key Variables'!$E$60/100</f>
        <v>25.000000000000004</v>
      </c>
      <c r="AH12" s="51">
        <f>AH5*'Key Variables'!$E$60/100</f>
        <v>26.250000000000004</v>
      </c>
      <c r="AI12" s="51">
        <f>AI5*'Key Variables'!$E$60/100</f>
        <v>27.500000000000004</v>
      </c>
      <c r="AJ12" s="51">
        <f>AJ5*'Key Variables'!$E$60/100</f>
        <v>28.750000000000004</v>
      </c>
      <c r="AK12" s="51">
        <f>AK5*'Key Variables'!$E$60/100</f>
        <v>30.000000000000004</v>
      </c>
      <c r="AL12" s="51">
        <f>AL5*'Key Variables'!$E$60/100</f>
        <v>31.666666666666671</v>
      </c>
      <c r="AM12" s="51">
        <f>AM5*'Key Variables'!$E$60/100</f>
        <v>33.333333333333336</v>
      </c>
      <c r="AN12" s="51">
        <f>AN5*'Key Variables'!$E$60/100</f>
        <v>35</v>
      </c>
      <c r="AO12" s="51">
        <f>AO5*'Key Variables'!$E$60/100</f>
        <v>36.666666666666664</v>
      </c>
      <c r="AP12" s="51">
        <f>AP5*'Key Variables'!$E$60/100</f>
        <v>38.333333333333329</v>
      </c>
      <c r="AQ12" s="51">
        <f>AQ5*'Key Variables'!$E$60/100</f>
        <v>39.999999999999993</v>
      </c>
      <c r="AR12" s="51">
        <f>AR5*'Key Variables'!$E$60/100</f>
        <v>41.666666666666657</v>
      </c>
      <c r="AS12" s="51">
        <f>AS5*'Key Variables'!$E$60/100</f>
        <v>43.333333333333321</v>
      </c>
      <c r="AT12" s="51">
        <f>AT5*'Key Variables'!$E$60/100</f>
        <v>44.999999999999979</v>
      </c>
      <c r="AU12" s="51">
        <f>AU5*'Key Variables'!$E$60/100</f>
        <v>46.66666666666665</v>
      </c>
      <c r="AV12" s="51">
        <f>AV5*'Key Variables'!$E$60/100</f>
        <v>48.333333333333314</v>
      </c>
      <c r="AW12" s="51">
        <f>AW5*'Key Variables'!$E$60/100</f>
        <v>49.999999999999979</v>
      </c>
      <c r="AX12" s="71">
        <f t="shared" si="1"/>
        <v>1</v>
      </c>
    </row>
    <row r="13" spans="1:50" hidden="1" x14ac:dyDescent="0.25">
      <c r="A13" s="13" t="s">
        <v>158</v>
      </c>
      <c r="B13" s="51">
        <f>B5*'Key Variables'!$E$59/100</f>
        <v>0.41666666666666674</v>
      </c>
      <c r="C13" s="51">
        <f>C5*'Key Variables'!$E$59/100</f>
        <v>0.83333333333333348</v>
      </c>
      <c r="D13" s="51">
        <f>D5*'Key Variables'!$E$59/100</f>
        <v>1.25</v>
      </c>
      <c r="E13" s="51">
        <f>E5*'Key Variables'!$E$59/100</f>
        <v>1.666666666666667</v>
      </c>
      <c r="F13" s="51">
        <f>F5*'Key Variables'!$E$59/100</f>
        <v>2.0833333333333335</v>
      </c>
      <c r="G13" s="51">
        <f>G5*'Key Variables'!$E$59/100</f>
        <v>2.5</v>
      </c>
      <c r="H13" s="51">
        <f>H5*'Key Variables'!$E$59/100</f>
        <v>2.9166666666666661</v>
      </c>
      <c r="I13" s="51">
        <f>I5*'Key Variables'!$E$59/100</f>
        <v>3.333333333333333</v>
      </c>
      <c r="J13" s="51">
        <f>J5*'Key Variables'!$E$59/100</f>
        <v>3.7499999999999996</v>
      </c>
      <c r="K13" s="51">
        <f>K5*'Key Variables'!$E$59/100</f>
        <v>4.1666666666666661</v>
      </c>
      <c r="L13" s="51">
        <f>L5*'Key Variables'!$E$59/100</f>
        <v>4.583333333333333</v>
      </c>
      <c r="M13" s="51">
        <f>M5*'Key Variables'!$E$59/100</f>
        <v>5</v>
      </c>
      <c r="N13" s="51">
        <f>N5*'Key Variables'!$E$59/100</f>
        <v>5.8333333333333321</v>
      </c>
      <c r="O13" s="51">
        <f>O5*'Key Variables'!$E$59/100</f>
        <v>6.6666666666666661</v>
      </c>
      <c r="P13" s="51">
        <f>P5*'Key Variables'!$E$59/100</f>
        <v>7.4999999999999991</v>
      </c>
      <c r="Q13" s="51">
        <f>Q5*'Key Variables'!$E$59/100</f>
        <v>8.3333333333333321</v>
      </c>
      <c r="R13" s="51">
        <f>R5*'Key Variables'!$E$59/100</f>
        <v>9.1666666666666661</v>
      </c>
      <c r="S13" s="51">
        <f>S5*'Key Variables'!$E$59/100</f>
        <v>10</v>
      </c>
      <c r="T13" s="51">
        <f>T5*'Key Variables'!$E$59/100</f>
        <v>10.833333333333336</v>
      </c>
      <c r="U13" s="51">
        <f>U5*'Key Variables'!$E$59/100</f>
        <v>11.666666666666668</v>
      </c>
      <c r="V13" s="51">
        <f>V5*'Key Variables'!$E$59/100</f>
        <v>12.500000000000002</v>
      </c>
      <c r="W13" s="51">
        <f>W5*'Key Variables'!$E$59/100</f>
        <v>13.333333333333336</v>
      </c>
      <c r="X13" s="51">
        <f>X5*'Key Variables'!$E$59/100</f>
        <v>14.16666666666667</v>
      </c>
      <c r="Y13" s="51">
        <f>Y5*'Key Variables'!$E$59/100</f>
        <v>15.000000000000005</v>
      </c>
      <c r="Z13" s="51">
        <f>Z5*'Key Variables'!$E$59/100</f>
        <v>16.250000000000004</v>
      </c>
      <c r="AA13" s="51">
        <f>AA5*'Key Variables'!$E$59/100</f>
        <v>17.500000000000004</v>
      </c>
      <c r="AB13" s="51">
        <f>AB5*'Key Variables'!$E$59/100</f>
        <v>18.750000000000004</v>
      </c>
      <c r="AC13" s="51">
        <f>AC5*'Key Variables'!$E$59/100</f>
        <v>20.000000000000004</v>
      </c>
      <c r="AD13" s="51">
        <f>AD5*'Key Variables'!$E$59/100</f>
        <v>21.250000000000004</v>
      </c>
      <c r="AE13" s="51">
        <f>AE5*'Key Variables'!$E$59/100</f>
        <v>22.500000000000004</v>
      </c>
      <c r="AF13" s="51">
        <f>AF5*'Key Variables'!$E$59/100</f>
        <v>23.750000000000004</v>
      </c>
      <c r="AG13" s="51">
        <f>AG5*'Key Variables'!$E$59/100</f>
        <v>25.000000000000004</v>
      </c>
      <c r="AH13" s="51">
        <f>AH5*'Key Variables'!$E$59/100</f>
        <v>26.250000000000004</v>
      </c>
      <c r="AI13" s="51">
        <f>AI5*'Key Variables'!$E$59/100</f>
        <v>27.500000000000004</v>
      </c>
      <c r="AJ13" s="51">
        <f>AJ5*'Key Variables'!$E$59/100</f>
        <v>28.750000000000004</v>
      </c>
      <c r="AK13" s="51">
        <f>AK5*'Key Variables'!$E$59/100</f>
        <v>30.000000000000004</v>
      </c>
      <c r="AL13" s="51">
        <f>AL5*'Key Variables'!$E$59/100</f>
        <v>31.666666666666671</v>
      </c>
      <c r="AM13" s="51">
        <f>AM5*'Key Variables'!$E$59/100</f>
        <v>33.333333333333336</v>
      </c>
      <c r="AN13" s="51">
        <f>AN5*'Key Variables'!$E$59/100</f>
        <v>35</v>
      </c>
      <c r="AO13" s="51">
        <f>AO5*'Key Variables'!$E$59/100</f>
        <v>36.666666666666664</v>
      </c>
      <c r="AP13" s="51">
        <f>AP5*'Key Variables'!$E$59/100</f>
        <v>38.333333333333329</v>
      </c>
      <c r="AQ13" s="51">
        <f>AQ5*'Key Variables'!$E$59/100</f>
        <v>39.999999999999993</v>
      </c>
      <c r="AR13" s="51">
        <f>AR5*'Key Variables'!$E$59/100</f>
        <v>41.666666666666657</v>
      </c>
      <c r="AS13" s="51">
        <f>AS5*'Key Variables'!$E$59/100</f>
        <v>43.333333333333321</v>
      </c>
      <c r="AT13" s="51">
        <f>AT5*'Key Variables'!$E$59/100</f>
        <v>44.999999999999979</v>
      </c>
      <c r="AU13" s="51">
        <f>AU5*'Key Variables'!$E$59/100</f>
        <v>46.66666666666665</v>
      </c>
      <c r="AV13" s="51">
        <f>AV5*'Key Variables'!$E$59/100</f>
        <v>48.333333333333314</v>
      </c>
      <c r="AW13" s="51">
        <f>AW5*'Key Variables'!$E$59/100</f>
        <v>49.999999999999979</v>
      </c>
      <c r="AX13" s="71">
        <f t="shared" si="1"/>
        <v>1</v>
      </c>
    </row>
    <row r="14" spans="1:50" hidden="1" x14ac:dyDescent="0.25">
      <c r="A14" s="13"/>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1:50" hidden="1" x14ac:dyDescent="0.25">
      <c r="A15" s="13" t="s">
        <v>128</v>
      </c>
      <c r="B15" s="53">
        <f t="shared" ref="B15:AW15" si="2">B5</f>
        <v>0.41666666666666669</v>
      </c>
      <c r="C15" s="53">
        <f t="shared" si="2"/>
        <v>0.83333333333333337</v>
      </c>
      <c r="D15" s="53">
        <f t="shared" si="2"/>
        <v>1.25</v>
      </c>
      <c r="E15" s="53">
        <f t="shared" si="2"/>
        <v>1.6666666666666667</v>
      </c>
      <c r="F15" s="53">
        <f t="shared" si="2"/>
        <v>2.0833333333333335</v>
      </c>
      <c r="G15" s="53">
        <f t="shared" si="2"/>
        <v>2.5</v>
      </c>
      <c r="H15" s="53">
        <f t="shared" si="2"/>
        <v>2.9166666666666665</v>
      </c>
      <c r="I15" s="53">
        <f t="shared" si="2"/>
        <v>3.333333333333333</v>
      </c>
      <c r="J15" s="53">
        <f t="shared" si="2"/>
        <v>3.7499999999999996</v>
      </c>
      <c r="K15" s="53">
        <f t="shared" si="2"/>
        <v>4.1666666666666661</v>
      </c>
      <c r="L15" s="53">
        <f t="shared" si="2"/>
        <v>4.583333333333333</v>
      </c>
      <c r="M15" s="53">
        <f t="shared" si="2"/>
        <v>5</v>
      </c>
      <c r="N15" s="53">
        <f t="shared" si="2"/>
        <v>5.833333333333333</v>
      </c>
      <c r="O15" s="53">
        <f t="shared" si="2"/>
        <v>6.6666666666666661</v>
      </c>
      <c r="P15" s="53">
        <f t="shared" si="2"/>
        <v>7.4999999999999991</v>
      </c>
      <c r="Q15" s="53">
        <f t="shared" si="2"/>
        <v>8.3333333333333321</v>
      </c>
      <c r="R15" s="53">
        <f t="shared" si="2"/>
        <v>9.1666666666666661</v>
      </c>
      <c r="S15" s="53">
        <f t="shared" si="2"/>
        <v>10</v>
      </c>
      <c r="T15" s="53">
        <f t="shared" si="2"/>
        <v>10.833333333333334</v>
      </c>
      <c r="U15" s="53">
        <f t="shared" si="2"/>
        <v>11.666666666666668</v>
      </c>
      <c r="V15" s="53">
        <f t="shared" si="2"/>
        <v>12.500000000000002</v>
      </c>
      <c r="W15" s="53">
        <f t="shared" si="2"/>
        <v>13.333333333333336</v>
      </c>
      <c r="X15" s="53">
        <f t="shared" si="2"/>
        <v>14.16666666666667</v>
      </c>
      <c r="Y15" s="53">
        <f t="shared" si="2"/>
        <v>15.000000000000004</v>
      </c>
      <c r="Z15" s="53">
        <f t="shared" si="2"/>
        <v>16.250000000000004</v>
      </c>
      <c r="AA15" s="53">
        <f t="shared" si="2"/>
        <v>17.500000000000004</v>
      </c>
      <c r="AB15" s="53">
        <f t="shared" si="2"/>
        <v>18.750000000000004</v>
      </c>
      <c r="AC15" s="53">
        <f t="shared" si="2"/>
        <v>20.000000000000004</v>
      </c>
      <c r="AD15" s="53">
        <f t="shared" si="2"/>
        <v>21.250000000000004</v>
      </c>
      <c r="AE15" s="53">
        <f t="shared" si="2"/>
        <v>22.500000000000004</v>
      </c>
      <c r="AF15" s="53">
        <f t="shared" si="2"/>
        <v>23.750000000000004</v>
      </c>
      <c r="AG15" s="53">
        <f t="shared" si="2"/>
        <v>25.000000000000004</v>
      </c>
      <c r="AH15" s="53">
        <f t="shared" si="2"/>
        <v>26.250000000000004</v>
      </c>
      <c r="AI15" s="53">
        <f t="shared" si="2"/>
        <v>27.500000000000004</v>
      </c>
      <c r="AJ15" s="53">
        <f t="shared" si="2"/>
        <v>28.750000000000004</v>
      </c>
      <c r="AK15" s="53">
        <f t="shared" si="2"/>
        <v>30.000000000000004</v>
      </c>
      <c r="AL15" s="53">
        <f t="shared" si="2"/>
        <v>31.666666666666671</v>
      </c>
      <c r="AM15" s="53">
        <f t="shared" si="2"/>
        <v>33.333333333333336</v>
      </c>
      <c r="AN15" s="53">
        <f t="shared" si="2"/>
        <v>35</v>
      </c>
      <c r="AO15" s="53">
        <f t="shared" si="2"/>
        <v>36.666666666666664</v>
      </c>
      <c r="AP15" s="53">
        <f t="shared" si="2"/>
        <v>38.333333333333329</v>
      </c>
      <c r="AQ15" s="53">
        <f t="shared" si="2"/>
        <v>39.999999999999993</v>
      </c>
      <c r="AR15" s="53">
        <f t="shared" si="2"/>
        <v>41.666666666666657</v>
      </c>
      <c r="AS15" s="53">
        <f t="shared" si="2"/>
        <v>43.333333333333321</v>
      </c>
      <c r="AT15" s="53">
        <f t="shared" si="2"/>
        <v>44.999999999999986</v>
      </c>
      <c r="AU15" s="53">
        <f t="shared" si="2"/>
        <v>46.66666666666665</v>
      </c>
      <c r="AV15" s="53">
        <f t="shared" si="2"/>
        <v>48.333333333333314</v>
      </c>
      <c r="AW15" s="53">
        <f t="shared" si="2"/>
        <v>49.999999999999979</v>
      </c>
    </row>
    <row r="16" spans="1:50" hidden="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row>
    <row r="17" spans="1:51" hidden="1" x14ac:dyDescent="0.25">
      <c r="A17" s="13" t="s">
        <v>141</v>
      </c>
      <c r="B17" s="65">
        <f>(B9*'Key Variables'!$K$94)</f>
        <v>0.10416666666666669</v>
      </c>
      <c r="C17" s="70">
        <f>(C9*'Key Variables'!$K$94)</f>
        <v>0.20833333333333337</v>
      </c>
      <c r="D17" s="70">
        <f>(D9*'Key Variables'!$K$94)</f>
        <v>0.3125</v>
      </c>
      <c r="E17" s="31">
        <f>(E9*'Key Variables'!$K$94)</f>
        <v>0.41666666666666674</v>
      </c>
      <c r="F17" s="31">
        <f>(F9*'Key Variables'!$K$94)</f>
        <v>0.52083333333333337</v>
      </c>
      <c r="G17" s="31">
        <f>(G9*'Key Variables'!$K$94)</f>
        <v>0.625</v>
      </c>
      <c r="H17" s="31">
        <f>(H9*'Key Variables'!$K$94)</f>
        <v>0.72916666666666652</v>
      </c>
      <c r="I17" s="31">
        <f>(I9*'Key Variables'!$K$94)</f>
        <v>0.83333333333333326</v>
      </c>
      <c r="J17" s="31">
        <f>(J9*'Key Variables'!$K$94)</f>
        <v>0.93749999999999989</v>
      </c>
      <c r="K17" s="31">
        <f>(K9*'Key Variables'!$K$94)</f>
        <v>1.0416666666666665</v>
      </c>
      <c r="L17" s="31">
        <f>(L9*'Key Variables'!$K$94)</f>
        <v>1.1458333333333333</v>
      </c>
      <c r="M17" s="31">
        <f>(M9*'Key Variables'!$K$94)</f>
        <v>1.25</v>
      </c>
      <c r="N17" s="31">
        <f>(N9*'Key Variables'!$K$94)</f>
        <v>1.458333333333333</v>
      </c>
      <c r="O17" s="31">
        <f>(O9*'Key Variables'!$K$94)</f>
        <v>1.6666666666666665</v>
      </c>
      <c r="P17" s="31">
        <f>(P9*'Key Variables'!$K$94)</f>
        <v>1.8749999999999998</v>
      </c>
      <c r="Q17" s="31">
        <f>(Q9*'Key Variables'!$K$94)</f>
        <v>2.083333333333333</v>
      </c>
      <c r="R17" s="31">
        <f>(R9*'Key Variables'!$K$94)</f>
        <v>2.2916666666666665</v>
      </c>
      <c r="S17" s="31">
        <f>(S9*'Key Variables'!$K$94)</f>
        <v>2.5</v>
      </c>
      <c r="T17" s="31">
        <f>(T9*'Key Variables'!$K$94)</f>
        <v>2.7083333333333339</v>
      </c>
      <c r="U17" s="31">
        <f>(U9*'Key Variables'!$K$94)</f>
        <v>2.916666666666667</v>
      </c>
      <c r="V17" s="31">
        <f>(V9*'Key Variables'!$K$94)</f>
        <v>3.1250000000000004</v>
      </c>
      <c r="W17" s="31">
        <f>(W9*'Key Variables'!$K$94)</f>
        <v>3.3333333333333339</v>
      </c>
      <c r="X17" s="31">
        <f>(X9*'Key Variables'!$K$94)</f>
        <v>3.5416666666666674</v>
      </c>
      <c r="Y17" s="31">
        <f>(Y9*'Key Variables'!$K$94)</f>
        <v>3.7500000000000013</v>
      </c>
      <c r="Z17" s="31">
        <f>(Z9*'Key Variables'!$K$94)</f>
        <v>4.0625000000000009</v>
      </c>
      <c r="AA17" s="31">
        <f>(AA9*'Key Variables'!$K$94)</f>
        <v>4.3750000000000009</v>
      </c>
      <c r="AB17" s="31">
        <f>(AB9*'Key Variables'!$K$94)</f>
        <v>4.6875000000000009</v>
      </c>
      <c r="AC17" s="31">
        <f>(AC9*'Key Variables'!$K$94)</f>
        <v>5.0000000000000009</v>
      </c>
      <c r="AD17" s="31">
        <f>(AD9*'Key Variables'!$K$94)</f>
        <v>5.3125000000000009</v>
      </c>
      <c r="AE17" s="31">
        <f>(AE9*'Key Variables'!$K$94)</f>
        <v>5.6250000000000009</v>
      </c>
      <c r="AF17" s="31">
        <f>(AF9*'Key Variables'!$K$94)</f>
        <v>5.9375000000000009</v>
      </c>
      <c r="AG17" s="31">
        <f>(AG9*'Key Variables'!$K$94)</f>
        <v>6.2500000000000009</v>
      </c>
      <c r="AH17" s="31">
        <f>(AH9*'Key Variables'!$K$94)</f>
        <v>6.5625000000000009</v>
      </c>
      <c r="AI17" s="31">
        <f>(AI9*'Key Variables'!$K$94)</f>
        <v>6.8750000000000009</v>
      </c>
      <c r="AJ17" s="31">
        <f>(AJ9*'Key Variables'!$K$94)</f>
        <v>7.1875000000000009</v>
      </c>
      <c r="AK17" s="31">
        <f>(AK9*'Key Variables'!$K$94)</f>
        <v>7.5000000000000009</v>
      </c>
      <c r="AL17" s="31">
        <f>(AL9*'Key Variables'!$K$94)</f>
        <v>7.9166666666666679</v>
      </c>
      <c r="AM17" s="31">
        <f>(AM9*'Key Variables'!$K$94)</f>
        <v>8.3333333333333339</v>
      </c>
      <c r="AN17" s="31">
        <f>(AN9*'Key Variables'!$K$94)</f>
        <v>8.75</v>
      </c>
      <c r="AO17" s="31">
        <f>(AO9*'Key Variables'!$K$94)</f>
        <v>9.1666666666666661</v>
      </c>
      <c r="AP17" s="31">
        <f>(AP9*'Key Variables'!$K$94)</f>
        <v>9.5833333333333321</v>
      </c>
      <c r="AQ17" s="31">
        <f>(AQ9*'Key Variables'!$K$94)</f>
        <v>9.9999999999999982</v>
      </c>
      <c r="AR17" s="31">
        <f>(AR9*'Key Variables'!$K$94)</f>
        <v>10.416666666666664</v>
      </c>
      <c r="AS17" s="31">
        <f>(AS9*'Key Variables'!$K$94)</f>
        <v>10.83333333333333</v>
      </c>
      <c r="AT17" s="31">
        <f>(AT9*'Key Variables'!$K$94)</f>
        <v>11.249999999999995</v>
      </c>
      <c r="AU17" s="31">
        <f>(AU9*'Key Variables'!$K$94)</f>
        <v>11.666666666666663</v>
      </c>
      <c r="AV17" s="31">
        <f>(AV9*'Key Variables'!$K$94)</f>
        <v>12.083333333333329</v>
      </c>
      <c r="AW17" s="31">
        <f>(AW9*'Key Variables'!$K$94)</f>
        <v>12.499999999999995</v>
      </c>
      <c r="AX17" s="71">
        <f>AW17/$AW$7</f>
        <v>0.25</v>
      </c>
    </row>
    <row r="18" spans="1:51" hidden="1" x14ac:dyDescent="0.25">
      <c r="A18" s="13" t="s">
        <v>142</v>
      </c>
      <c r="B18" s="65">
        <f>(B10*'Key Variables'!$K$94)</f>
        <v>0</v>
      </c>
      <c r="C18" s="65">
        <f>(C10*'Key Variables'!$K$94)</f>
        <v>0</v>
      </c>
      <c r="D18" s="65">
        <f>(D10*'Key Variables'!$K$94)</f>
        <v>0</v>
      </c>
      <c r="E18" s="65">
        <f>(E10*'Key Variables'!$K$94)</f>
        <v>0</v>
      </c>
      <c r="F18" s="65">
        <f>(F10*'Key Variables'!$K$94)</f>
        <v>0</v>
      </c>
      <c r="G18" s="65">
        <f>(G10*'Key Variables'!$K$94)</f>
        <v>0</v>
      </c>
      <c r="H18" s="65">
        <f>(H10*'Key Variables'!$K$94)</f>
        <v>0</v>
      </c>
      <c r="I18" s="65">
        <f>(I10*'Key Variables'!$K$94)</f>
        <v>0</v>
      </c>
      <c r="J18" s="65">
        <f>(J10*'Key Variables'!$K$94)</f>
        <v>0</v>
      </c>
      <c r="K18" s="65">
        <f>(K10*'Key Variables'!$K$94)</f>
        <v>0</v>
      </c>
      <c r="L18" s="65">
        <f>(L10*'Key Variables'!$K$94)</f>
        <v>0</v>
      </c>
      <c r="M18" s="65">
        <f>(M10*'Key Variables'!$K$94)</f>
        <v>0</v>
      </c>
      <c r="N18" s="65">
        <f>(N10*'Key Variables'!$K$94)</f>
        <v>0</v>
      </c>
      <c r="O18" s="65">
        <f>(O10*'Key Variables'!$K$94)</f>
        <v>0</v>
      </c>
      <c r="P18" s="65">
        <f>(P10*'Key Variables'!$K$94)</f>
        <v>0</v>
      </c>
      <c r="Q18" s="65">
        <f>(Q10*'Key Variables'!$K$94)</f>
        <v>0</v>
      </c>
      <c r="R18" s="65">
        <f>(R10*'Key Variables'!$K$94)</f>
        <v>0</v>
      </c>
      <c r="S18" s="65">
        <f>(S10*'Key Variables'!$K$94)</f>
        <v>0</v>
      </c>
      <c r="T18" s="65">
        <f>(T10*'Key Variables'!$K$94)</f>
        <v>0</v>
      </c>
      <c r="U18" s="65">
        <f>(U10*'Key Variables'!$K$94)</f>
        <v>0</v>
      </c>
      <c r="V18" s="65">
        <f>(V10*'Key Variables'!$K$94)</f>
        <v>0</v>
      </c>
      <c r="W18" s="65">
        <f>(W10*'Key Variables'!$K$94)</f>
        <v>0</v>
      </c>
      <c r="X18" s="65">
        <f>(X10*'Key Variables'!$K$94)</f>
        <v>0</v>
      </c>
      <c r="Y18" s="65">
        <f>(Y10*'Key Variables'!$K$94)</f>
        <v>0</v>
      </c>
      <c r="Z18" s="65">
        <f>(Z10*'Key Variables'!$K$94)</f>
        <v>0</v>
      </c>
      <c r="AA18" s="65">
        <f>(AA10*'Key Variables'!$K$94)</f>
        <v>0</v>
      </c>
      <c r="AB18" s="65">
        <f>(AB10*'Key Variables'!$K$94)</f>
        <v>0</v>
      </c>
      <c r="AC18" s="65">
        <f>(AC10*'Key Variables'!$K$94)</f>
        <v>0</v>
      </c>
      <c r="AD18" s="65">
        <f>(AD10*'Key Variables'!$K$94)</f>
        <v>0</v>
      </c>
      <c r="AE18" s="65">
        <f>(AE10*'Key Variables'!$K$94)</f>
        <v>0</v>
      </c>
      <c r="AF18" s="65">
        <f>(AF10*'Key Variables'!$K$94)</f>
        <v>0</v>
      </c>
      <c r="AG18" s="65">
        <f>(AG10*'Key Variables'!$K$94)</f>
        <v>0</v>
      </c>
      <c r="AH18" s="65">
        <f>(AH10*'Key Variables'!$K$94)</f>
        <v>0</v>
      </c>
      <c r="AI18" s="65">
        <f>(AI10*'Key Variables'!$K$94)</f>
        <v>0</v>
      </c>
      <c r="AJ18" s="65">
        <f>(AJ10*'Key Variables'!$K$94)</f>
        <v>0</v>
      </c>
      <c r="AK18" s="65">
        <f>(AK10*'Key Variables'!$K$94)</f>
        <v>0</v>
      </c>
      <c r="AL18" s="65">
        <f>(AL10*'Key Variables'!$K$94)</f>
        <v>0</v>
      </c>
      <c r="AM18" s="65">
        <f>(AM10*'Key Variables'!$K$94)</f>
        <v>0</v>
      </c>
      <c r="AN18" s="65">
        <f>(AN10*'Key Variables'!$K$94)</f>
        <v>0</v>
      </c>
      <c r="AO18" s="65">
        <f>(AO10*'Key Variables'!$K$94)</f>
        <v>0</v>
      </c>
      <c r="AP18" s="65">
        <f>(AP10*'Key Variables'!$K$94)</f>
        <v>0</v>
      </c>
      <c r="AQ18" s="65">
        <f>(AQ10*'Key Variables'!$K$94)</f>
        <v>0</v>
      </c>
      <c r="AR18" s="65">
        <f>(AR10*'Key Variables'!$K$94)</f>
        <v>0</v>
      </c>
      <c r="AS18" s="65">
        <f>(AS10*'Key Variables'!$K$94)</f>
        <v>0</v>
      </c>
      <c r="AT18" s="65">
        <f>(AT10*'Key Variables'!$K$94)</f>
        <v>0</v>
      </c>
      <c r="AU18" s="65">
        <f>(AU10*'Key Variables'!$K$94)</f>
        <v>0</v>
      </c>
      <c r="AV18" s="65">
        <f>(AV10*'Key Variables'!$K$94)</f>
        <v>0</v>
      </c>
      <c r="AW18" s="73">
        <f>(AW10*'Key Variables'!$K$94)</f>
        <v>0</v>
      </c>
      <c r="AX18" s="71">
        <f t="shared" ref="AX18:AX21" si="3">AW18/$AW$7</f>
        <v>0</v>
      </c>
    </row>
    <row r="19" spans="1:51" hidden="1" x14ac:dyDescent="0.25">
      <c r="A19" s="13" t="s">
        <v>143</v>
      </c>
      <c r="B19" s="65">
        <f>(B11*'Key Variables'!$K$94)</f>
        <v>0.20833333333333337</v>
      </c>
      <c r="C19" s="65">
        <f>(C11*'Key Variables'!$K$94)</f>
        <v>0.41666666666666674</v>
      </c>
      <c r="D19" s="65">
        <f>(D11*'Key Variables'!$K$94)</f>
        <v>0.625</v>
      </c>
      <c r="E19" s="65">
        <f>(E11*'Key Variables'!$K$94)</f>
        <v>0.83333333333333348</v>
      </c>
      <c r="F19" s="65">
        <f>(F11*'Key Variables'!$K$94)</f>
        <v>1.0416666666666667</v>
      </c>
      <c r="G19" s="65">
        <f>(G11*'Key Variables'!$K$94)</f>
        <v>1.25</v>
      </c>
      <c r="H19" s="65">
        <f>(H11*'Key Variables'!$K$94)</f>
        <v>1.458333333333333</v>
      </c>
      <c r="I19" s="65">
        <f>(I11*'Key Variables'!$K$94)</f>
        <v>1.6666666666666665</v>
      </c>
      <c r="J19" s="65">
        <f>(J11*'Key Variables'!$K$94)</f>
        <v>1.8749999999999998</v>
      </c>
      <c r="K19" s="65">
        <f>(K11*'Key Variables'!$K$94)</f>
        <v>2.083333333333333</v>
      </c>
      <c r="L19" s="65">
        <f>(L11*'Key Variables'!$K$94)</f>
        <v>2.2916666666666665</v>
      </c>
      <c r="M19" s="65">
        <f>(M11*'Key Variables'!$K$94)</f>
        <v>2.5</v>
      </c>
      <c r="N19" s="65">
        <f>(N11*'Key Variables'!$K$94)</f>
        <v>2.9166666666666661</v>
      </c>
      <c r="O19" s="65">
        <f>(O11*'Key Variables'!$K$94)</f>
        <v>3.333333333333333</v>
      </c>
      <c r="P19" s="65">
        <f>(P11*'Key Variables'!$K$94)</f>
        <v>3.7499999999999996</v>
      </c>
      <c r="Q19" s="65">
        <f>(Q11*'Key Variables'!$K$94)</f>
        <v>4.1666666666666661</v>
      </c>
      <c r="R19" s="65">
        <f>(R11*'Key Variables'!$K$94)</f>
        <v>4.583333333333333</v>
      </c>
      <c r="S19" s="65">
        <f>(S11*'Key Variables'!$K$94)</f>
        <v>5</v>
      </c>
      <c r="T19" s="65">
        <f>(T11*'Key Variables'!$K$94)</f>
        <v>5.4166666666666679</v>
      </c>
      <c r="U19" s="65">
        <f>(U11*'Key Variables'!$K$94)</f>
        <v>5.8333333333333339</v>
      </c>
      <c r="V19" s="65">
        <f>(V11*'Key Variables'!$K$94)</f>
        <v>6.2500000000000009</v>
      </c>
      <c r="W19" s="65">
        <f>(W11*'Key Variables'!$K$94)</f>
        <v>6.6666666666666679</v>
      </c>
      <c r="X19" s="65">
        <f>(X11*'Key Variables'!$K$94)</f>
        <v>7.0833333333333348</v>
      </c>
      <c r="Y19" s="65">
        <f>(Y11*'Key Variables'!$K$94)</f>
        <v>7.5000000000000027</v>
      </c>
      <c r="Z19" s="65">
        <f>(Z11*'Key Variables'!$K$94)</f>
        <v>8.1250000000000018</v>
      </c>
      <c r="AA19" s="65">
        <f>(AA11*'Key Variables'!$K$94)</f>
        <v>8.7500000000000018</v>
      </c>
      <c r="AB19" s="65">
        <f>(AB11*'Key Variables'!$K$94)</f>
        <v>9.3750000000000018</v>
      </c>
      <c r="AC19" s="65">
        <f>(AC11*'Key Variables'!$K$94)</f>
        <v>10.000000000000002</v>
      </c>
      <c r="AD19" s="65">
        <f>(AD11*'Key Variables'!$K$94)</f>
        <v>10.625000000000002</v>
      </c>
      <c r="AE19" s="65">
        <f>(AE11*'Key Variables'!$K$94)</f>
        <v>11.250000000000002</v>
      </c>
      <c r="AF19" s="65">
        <f>(AF11*'Key Variables'!$K$94)</f>
        <v>11.875000000000002</v>
      </c>
      <c r="AG19" s="65">
        <f>(AG11*'Key Variables'!$K$94)</f>
        <v>12.500000000000002</v>
      </c>
      <c r="AH19" s="65">
        <f>(AH11*'Key Variables'!$K$94)</f>
        <v>13.125000000000002</v>
      </c>
      <c r="AI19" s="65">
        <f>(AI11*'Key Variables'!$K$94)</f>
        <v>13.750000000000002</v>
      </c>
      <c r="AJ19" s="65">
        <f>(AJ11*'Key Variables'!$K$94)</f>
        <v>14.375000000000002</v>
      </c>
      <c r="AK19" s="65">
        <f>(AK11*'Key Variables'!$K$94)</f>
        <v>15.000000000000002</v>
      </c>
      <c r="AL19" s="65">
        <f>(AL11*'Key Variables'!$K$94)</f>
        <v>15.833333333333336</v>
      </c>
      <c r="AM19" s="65">
        <f>(AM11*'Key Variables'!$K$94)</f>
        <v>16.666666666666668</v>
      </c>
      <c r="AN19" s="65">
        <f>(AN11*'Key Variables'!$K$94)</f>
        <v>17.5</v>
      </c>
      <c r="AO19" s="65">
        <f>(AO11*'Key Variables'!$K$94)</f>
        <v>18.333333333333332</v>
      </c>
      <c r="AP19" s="65">
        <f>(AP11*'Key Variables'!$K$94)</f>
        <v>19.166666666666664</v>
      </c>
      <c r="AQ19" s="65">
        <f>(AQ11*'Key Variables'!$K$94)</f>
        <v>19.999999999999996</v>
      </c>
      <c r="AR19" s="65">
        <f>(AR11*'Key Variables'!$K$94)</f>
        <v>20.833333333333329</v>
      </c>
      <c r="AS19" s="65">
        <f>(AS11*'Key Variables'!$K$94)</f>
        <v>21.666666666666661</v>
      </c>
      <c r="AT19" s="65">
        <f>(AT11*'Key Variables'!$K$94)</f>
        <v>22.499999999999989</v>
      </c>
      <c r="AU19" s="65">
        <f>(AU11*'Key Variables'!$K$94)</f>
        <v>23.333333333333325</v>
      </c>
      <c r="AV19" s="65">
        <f>(AV11*'Key Variables'!$K$94)</f>
        <v>24.166666666666657</v>
      </c>
      <c r="AW19" s="65">
        <f>(AW11*'Key Variables'!$K$94)</f>
        <v>24.999999999999989</v>
      </c>
      <c r="AX19" s="71">
        <f t="shared" si="3"/>
        <v>0.5</v>
      </c>
    </row>
    <row r="20" spans="1:51" hidden="1" x14ac:dyDescent="0.25">
      <c r="A20" s="13" t="s">
        <v>165</v>
      </c>
      <c r="B20" s="65">
        <f>B12*'Key Variables'!$K$94</f>
        <v>0.41666666666666674</v>
      </c>
      <c r="C20" s="65">
        <f>C12*'Key Variables'!$K$94</f>
        <v>0.83333333333333348</v>
      </c>
      <c r="D20" s="65">
        <f>D12*'Key Variables'!$K$94</f>
        <v>1.25</v>
      </c>
      <c r="E20" s="65">
        <f>E12*'Key Variables'!$K$94</f>
        <v>1.666666666666667</v>
      </c>
      <c r="F20" s="65">
        <f>F12*'Key Variables'!$K$94</f>
        <v>2.0833333333333335</v>
      </c>
      <c r="G20" s="65">
        <f>G12*'Key Variables'!$K$94</f>
        <v>2.5</v>
      </c>
      <c r="H20" s="65">
        <f>H12*'Key Variables'!$K$94</f>
        <v>2.9166666666666661</v>
      </c>
      <c r="I20" s="65">
        <f>I12*'Key Variables'!$K$94</f>
        <v>3.333333333333333</v>
      </c>
      <c r="J20" s="65">
        <f>J12*'Key Variables'!$K$94</f>
        <v>3.7499999999999996</v>
      </c>
      <c r="K20" s="65">
        <f>K12*'Key Variables'!$K$94</f>
        <v>4.1666666666666661</v>
      </c>
      <c r="L20" s="65">
        <f>L12*'Key Variables'!$K$94</f>
        <v>4.583333333333333</v>
      </c>
      <c r="M20" s="65">
        <f>M12*'Key Variables'!$K$94</f>
        <v>5</v>
      </c>
      <c r="N20" s="65">
        <f>N12*'Key Variables'!$K$94</f>
        <v>5.8333333333333321</v>
      </c>
      <c r="O20" s="65">
        <f>O12*'Key Variables'!$K$94</f>
        <v>6.6666666666666661</v>
      </c>
      <c r="P20" s="65">
        <f>P12*'Key Variables'!$K$94</f>
        <v>7.4999999999999991</v>
      </c>
      <c r="Q20" s="65">
        <f>Q12*'Key Variables'!$K$94</f>
        <v>8.3333333333333321</v>
      </c>
      <c r="R20" s="65">
        <f>R12*'Key Variables'!$K$94</f>
        <v>9.1666666666666661</v>
      </c>
      <c r="S20" s="65">
        <f>S12*'Key Variables'!$K$94</f>
        <v>10</v>
      </c>
      <c r="T20" s="65">
        <f>T12*'Key Variables'!$K$94</f>
        <v>10.833333333333336</v>
      </c>
      <c r="U20" s="65">
        <f>U12*'Key Variables'!$K$94</f>
        <v>11.666666666666668</v>
      </c>
      <c r="V20" s="65">
        <f>V12*'Key Variables'!$K$94</f>
        <v>12.500000000000002</v>
      </c>
      <c r="W20" s="65">
        <f>W12*'Key Variables'!$K$94</f>
        <v>13.333333333333336</v>
      </c>
      <c r="X20" s="65">
        <f>X12*'Key Variables'!$K$94</f>
        <v>14.16666666666667</v>
      </c>
      <c r="Y20" s="65">
        <f>Y12*'Key Variables'!$K$94</f>
        <v>15.000000000000005</v>
      </c>
      <c r="Z20" s="65">
        <f>Z12*'Key Variables'!$K$94</f>
        <v>16.250000000000004</v>
      </c>
      <c r="AA20" s="65">
        <f>AA12*'Key Variables'!$K$94</f>
        <v>17.500000000000004</v>
      </c>
      <c r="AB20" s="65">
        <f>AB12*'Key Variables'!$K$94</f>
        <v>18.750000000000004</v>
      </c>
      <c r="AC20" s="65">
        <f>AC12*'Key Variables'!$K$94</f>
        <v>20.000000000000004</v>
      </c>
      <c r="AD20" s="65">
        <f>AD12*'Key Variables'!$K$94</f>
        <v>21.250000000000004</v>
      </c>
      <c r="AE20" s="65">
        <f>AE12*'Key Variables'!$K$94</f>
        <v>22.500000000000004</v>
      </c>
      <c r="AF20" s="65">
        <f>AF12*'Key Variables'!$K$94</f>
        <v>23.750000000000004</v>
      </c>
      <c r="AG20" s="65">
        <f>AG12*'Key Variables'!$K$94</f>
        <v>25.000000000000004</v>
      </c>
      <c r="AH20" s="65">
        <f>AH12*'Key Variables'!$K$94</f>
        <v>26.250000000000004</v>
      </c>
      <c r="AI20" s="65">
        <f>AI12*'Key Variables'!$K$94</f>
        <v>27.500000000000004</v>
      </c>
      <c r="AJ20" s="65">
        <f>AJ12*'Key Variables'!$K$94</f>
        <v>28.750000000000004</v>
      </c>
      <c r="AK20" s="65">
        <f>AK12*'Key Variables'!$K$94</f>
        <v>30.000000000000004</v>
      </c>
      <c r="AL20" s="65">
        <f>AL12*'Key Variables'!$K$94</f>
        <v>31.666666666666671</v>
      </c>
      <c r="AM20" s="65">
        <f>AM12*'Key Variables'!$K$94</f>
        <v>33.333333333333336</v>
      </c>
      <c r="AN20" s="65">
        <f>AN12*'Key Variables'!$K$94</f>
        <v>35</v>
      </c>
      <c r="AO20" s="65">
        <f>AO12*'Key Variables'!$K$94</f>
        <v>36.666666666666664</v>
      </c>
      <c r="AP20" s="65">
        <f>AP12*'Key Variables'!$K$94</f>
        <v>38.333333333333329</v>
      </c>
      <c r="AQ20" s="65">
        <f>AQ12*'Key Variables'!$K$94</f>
        <v>39.999999999999993</v>
      </c>
      <c r="AR20" s="65">
        <f>AR12*'Key Variables'!$K$94</f>
        <v>41.666666666666657</v>
      </c>
      <c r="AS20" s="65">
        <f>AS12*'Key Variables'!$K$94</f>
        <v>43.333333333333321</v>
      </c>
      <c r="AT20" s="65">
        <f>AT12*'Key Variables'!$K$94</f>
        <v>44.999999999999979</v>
      </c>
      <c r="AU20" s="65">
        <f>AU12*'Key Variables'!$K$94</f>
        <v>46.66666666666665</v>
      </c>
      <c r="AV20" s="65">
        <f>AV12*'Key Variables'!$K$94</f>
        <v>48.333333333333314</v>
      </c>
      <c r="AW20" s="65">
        <f>AW12*'Key Variables'!$K$94</f>
        <v>49.999999999999979</v>
      </c>
      <c r="AX20" s="71">
        <f t="shared" si="3"/>
        <v>1</v>
      </c>
    </row>
    <row r="21" spans="1:51" hidden="1" x14ac:dyDescent="0.25">
      <c r="A21" s="13" t="s">
        <v>159</v>
      </c>
      <c r="B21" s="65">
        <f>B13*'Key Variables'!$K$94</f>
        <v>0.41666666666666674</v>
      </c>
      <c r="C21" s="65">
        <f>C13*'Key Variables'!$K$94</f>
        <v>0.83333333333333348</v>
      </c>
      <c r="D21" s="65">
        <f>D13*'Key Variables'!$K$94</f>
        <v>1.25</v>
      </c>
      <c r="E21" s="65">
        <f>E13*'Key Variables'!$K$94</f>
        <v>1.666666666666667</v>
      </c>
      <c r="F21" s="65">
        <f>F13*'Key Variables'!$K$94</f>
        <v>2.0833333333333335</v>
      </c>
      <c r="G21" s="65">
        <f>G13*'Key Variables'!$K$94</f>
        <v>2.5</v>
      </c>
      <c r="H21" s="65">
        <f>H13*'Key Variables'!$K$94</f>
        <v>2.9166666666666661</v>
      </c>
      <c r="I21" s="65">
        <f>I13*'Key Variables'!$K$94</f>
        <v>3.333333333333333</v>
      </c>
      <c r="J21" s="65">
        <f>J13*'Key Variables'!$K$94</f>
        <v>3.7499999999999996</v>
      </c>
      <c r="K21" s="65">
        <f>K13*'Key Variables'!$K$94</f>
        <v>4.1666666666666661</v>
      </c>
      <c r="L21" s="65">
        <f>L13*'Key Variables'!$K$94</f>
        <v>4.583333333333333</v>
      </c>
      <c r="M21" s="65">
        <f>M13*'Key Variables'!$K$94</f>
        <v>5</v>
      </c>
      <c r="N21" s="65">
        <f>N13*'Key Variables'!$K$94</f>
        <v>5.8333333333333321</v>
      </c>
      <c r="O21" s="65">
        <f>O13*'Key Variables'!$K$94</f>
        <v>6.6666666666666661</v>
      </c>
      <c r="P21" s="65">
        <f>P13*'Key Variables'!$K$94</f>
        <v>7.4999999999999991</v>
      </c>
      <c r="Q21" s="65">
        <f>Q13*'Key Variables'!$K$94</f>
        <v>8.3333333333333321</v>
      </c>
      <c r="R21" s="65">
        <f>R13*'Key Variables'!$K$94</f>
        <v>9.1666666666666661</v>
      </c>
      <c r="S21" s="65">
        <f>S13*'Key Variables'!$K$94</f>
        <v>10</v>
      </c>
      <c r="T21" s="65">
        <f>T13*'Key Variables'!$K$94</f>
        <v>10.833333333333336</v>
      </c>
      <c r="U21" s="65">
        <f>U13*'Key Variables'!$K$94</f>
        <v>11.666666666666668</v>
      </c>
      <c r="V21" s="65">
        <f>V13*'Key Variables'!$K$94</f>
        <v>12.500000000000002</v>
      </c>
      <c r="W21" s="65">
        <f>W13*'Key Variables'!$K$94</f>
        <v>13.333333333333336</v>
      </c>
      <c r="X21" s="65">
        <f>X13*'Key Variables'!$K$94</f>
        <v>14.16666666666667</v>
      </c>
      <c r="Y21" s="65">
        <f>Y13*'Key Variables'!$K$94</f>
        <v>15.000000000000005</v>
      </c>
      <c r="Z21" s="65">
        <f>Z13*'Key Variables'!$K$94</f>
        <v>16.250000000000004</v>
      </c>
      <c r="AA21" s="65">
        <f>AA13*'Key Variables'!$K$94</f>
        <v>17.500000000000004</v>
      </c>
      <c r="AB21" s="65">
        <f>AB13*'Key Variables'!$K$94</f>
        <v>18.750000000000004</v>
      </c>
      <c r="AC21" s="65">
        <f>AC13*'Key Variables'!$K$94</f>
        <v>20.000000000000004</v>
      </c>
      <c r="AD21" s="65">
        <f>AD13*'Key Variables'!$K$94</f>
        <v>21.250000000000004</v>
      </c>
      <c r="AE21" s="65">
        <f>AE13*'Key Variables'!$K$94</f>
        <v>22.500000000000004</v>
      </c>
      <c r="AF21" s="65">
        <f>AF13*'Key Variables'!$K$94</f>
        <v>23.750000000000004</v>
      </c>
      <c r="AG21" s="65">
        <f>AG13*'Key Variables'!$K$94</f>
        <v>25.000000000000004</v>
      </c>
      <c r="AH21" s="65">
        <f>AH13*'Key Variables'!$K$94</f>
        <v>26.250000000000004</v>
      </c>
      <c r="AI21" s="65">
        <f>AI13*'Key Variables'!$K$94</f>
        <v>27.500000000000004</v>
      </c>
      <c r="AJ21" s="65">
        <f>AJ13*'Key Variables'!$K$94</f>
        <v>28.750000000000004</v>
      </c>
      <c r="AK21" s="65">
        <f>AK13*'Key Variables'!$K$94</f>
        <v>30.000000000000004</v>
      </c>
      <c r="AL21" s="65">
        <f>AL13*'Key Variables'!$K$94</f>
        <v>31.666666666666671</v>
      </c>
      <c r="AM21" s="65">
        <f>AM13*'Key Variables'!$K$94</f>
        <v>33.333333333333336</v>
      </c>
      <c r="AN21" s="65">
        <f>AN13*'Key Variables'!$K$94</f>
        <v>35</v>
      </c>
      <c r="AO21" s="65">
        <f>AO13*'Key Variables'!$K$94</f>
        <v>36.666666666666664</v>
      </c>
      <c r="AP21" s="65">
        <f>AP13*'Key Variables'!$K$94</f>
        <v>38.333333333333329</v>
      </c>
      <c r="AQ21" s="65">
        <f>AQ13*'Key Variables'!$K$94</f>
        <v>39.999999999999993</v>
      </c>
      <c r="AR21" s="65">
        <f>AR13*'Key Variables'!$K$94</f>
        <v>41.666666666666657</v>
      </c>
      <c r="AS21" s="65">
        <f>AS13*'Key Variables'!$K$94</f>
        <v>43.333333333333321</v>
      </c>
      <c r="AT21" s="65">
        <f>AT13*'Key Variables'!$K$94</f>
        <v>44.999999999999979</v>
      </c>
      <c r="AU21" s="65">
        <f>AU13*'Key Variables'!$K$94</f>
        <v>46.66666666666665</v>
      </c>
      <c r="AV21" s="65">
        <f>AV13*'Key Variables'!$K$94</f>
        <v>48.333333333333314</v>
      </c>
      <c r="AW21" s="65">
        <f>AW13*'Key Variables'!$K$94</f>
        <v>49.999999999999979</v>
      </c>
      <c r="AX21" s="71">
        <f t="shared" si="3"/>
        <v>1</v>
      </c>
    </row>
    <row r="22" spans="1:51" hidden="1" x14ac:dyDescent="0.25">
      <c r="A22" s="13"/>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row>
    <row r="23" spans="1:51" hidden="1" x14ac:dyDescent="0.25">
      <c r="A23" s="13" t="s">
        <v>139</v>
      </c>
      <c r="B23" s="50">
        <f>B4*'Key Variables'!$C$8</f>
        <v>4166.666666666667</v>
      </c>
      <c r="C23" s="50">
        <f>C4*'Key Variables'!$C$8</f>
        <v>4166.666666666667</v>
      </c>
      <c r="D23" s="50">
        <f>D4*'Key Variables'!$C$8</f>
        <v>4166.666666666667</v>
      </c>
      <c r="E23" s="50">
        <f>E4*'Key Variables'!$C$8</f>
        <v>4166.666666666667</v>
      </c>
      <c r="F23" s="50">
        <f>F4*'Key Variables'!$C$8</f>
        <v>4166.666666666667</v>
      </c>
      <c r="G23" s="50">
        <f>G4*'Key Variables'!$C$8</f>
        <v>4166.666666666667</v>
      </c>
      <c r="H23" s="50">
        <f>H4*'Key Variables'!$C$8</f>
        <v>4166.666666666667</v>
      </c>
      <c r="I23" s="50">
        <f>I4*'Key Variables'!$C$8</f>
        <v>4166.666666666667</v>
      </c>
      <c r="J23" s="50">
        <f>J4*'Key Variables'!$C$8</f>
        <v>4166.666666666667</v>
      </c>
      <c r="K23" s="50">
        <f>K4*'Key Variables'!$C$8</f>
        <v>4166.666666666667</v>
      </c>
      <c r="L23" s="50">
        <f>L4*'Key Variables'!$C$8</f>
        <v>4166.666666666667</v>
      </c>
      <c r="M23" s="50">
        <f>M4*'Key Variables'!$C$8</f>
        <v>4166.666666666667</v>
      </c>
      <c r="N23" s="50">
        <f>N4*'Key Variables'!$C$8</f>
        <v>8333.3333333333339</v>
      </c>
      <c r="O23" s="50">
        <f>O4*'Key Variables'!$C$8</f>
        <v>8333.3333333333339</v>
      </c>
      <c r="P23" s="50">
        <f>P4*'Key Variables'!$C$8</f>
        <v>8333.3333333333339</v>
      </c>
      <c r="Q23" s="50">
        <f>Q4*'Key Variables'!$C$8</f>
        <v>8333.3333333333339</v>
      </c>
      <c r="R23" s="50">
        <f>R4*'Key Variables'!$C$8</f>
        <v>8333.3333333333339</v>
      </c>
      <c r="S23" s="50">
        <f>S4*'Key Variables'!$C$8</f>
        <v>8333.3333333333339</v>
      </c>
      <c r="T23" s="50">
        <f>T4*'Key Variables'!$C$8</f>
        <v>8333.3333333333339</v>
      </c>
      <c r="U23" s="50">
        <f>U4*'Key Variables'!$C$8</f>
        <v>8333.3333333333339</v>
      </c>
      <c r="V23" s="50">
        <f>V4*'Key Variables'!$C$8</f>
        <v>8333.3333333333339</v>
      </c>
      <c r="W23" s="50">
        <f>W4*'Key Variables'!$C$8</f>
        <v>8333.3333333333339</v>
      </c>
      <c r="X23" s="50">
        <f>X4*'Key Variables'!$C$8</f>
        <v>8333.3333333333339</v>
      </c>
      <c r="Y23" s="50">
        <f>Y4*'Key Variables'!$C$8</f>
        <v>8333.3333333333339</v>
      </c>
      <c r="Z23" s="50">
        <f>Z4*'Key Variables'!$C$8</f>
        <v>12500</v>
      </c>
      <c r="AA23" s="50">
        <f>AA4*'Key Variables'!$C$8</f>
        <v>12500</v>
      </c>
      <c r="AB23" s="50">
        <f>AB4*'Key Variables'!$C$8</f>
        <v>12500</v>
      </c>
      <c r="AC23" s="50">
        <f>AC4*'Key Variables'!$C$8</f>
        <v>12500</v>
      </c>
      <c r="AD23" s="50">
        <f>AD4*'Key Variables'!$C$8</f>
        <v>12500</v>
      </c>
      <c r="AE23" s="50">
        <f>AE4*'Key Variables'!$C$8</f>
        <v>12500</v>
      </c>
      <c r="AF23" s="50">
        <f>AF4*'Key Variables'!$C$8</f>
        <v>12500</v>
      </c>
      <c r="AG23" s="50">
        <f>AG4*'Key Variables'!$C$8</f>
        <v>12500</v>
      </c>
      <c r="AH23" s="50">
        <f>AH4*'Key Variables'!$C$8</f>
        <v>12500</v>
      </c>
      <c r="AI23" s="50">
        <f>AI4*'Key Variables'!$C$8</f>
        <v>12500</v>
      </c>
      <c r="AJ23" s="50">
        <f>AJ4*'Key Variables'!$C$8</f>
        <v>12500</v>
      </c>
      <c r="AK23" s="50">
        <f>AK4*'Key Variables'!$C$8</f>
        <v>12500</v>
      </c>
      <c r="AL23" s="50">
        <f>AL4*'Key Variables'!$C$8</f>
        <v>16666.666666666668</v>
      </c>
      <c r="AM23" s="50">
        <f>AM4*'Key Variables'!$C$8</f>
        <v>16666.666666666668</v>
      </c>
      <c r="AN23" s="50">
        <f>AN4*'Key Variables'!$C$8</f>
        <v>16666.666666666668</v>
      </c>
      <c r="AO23" s="50">
        <f>AO4*'Key Variables'!$C$8</f>
        <v>16666.666666666668</v>
      </c>
      <c r="AP23" s="50">
        <f>AP4*'Key Variables'!$C$8</f>
        <v>16666.666666666668</v>
      </c>
      <c r="AQ23" s="50">
        <f>AQ4*'Key Variables'!$C$8</f>
        <v>16666.666666666668</v>
      </c>
      <c r="AR23" s="50">
        <f>AR4*'Key Variables'!$C$8</f>
        <v>16666.666666666668</v>
      </c>
      <c r="AS23" s="50">
        <f>AS4*'Key Variables'!$C$8</f>
        <v>16666.666666666668</v>
      </c>
      <c r="AT23" s="50">
        <f>AT4*'Key Variables'!$C$8</f>
        <v>16666.666666666668</v>
      </c>
      <c r="AU23" s="50">
        <f>AU4*'Key Variables'!$C$8</f>
        <v>16666.666666666668</v>
      </c>
      <c r="AV23" s="50">
        <f>AV4*'Key Variables'!$C$8</f>
        <v>16666.666666666668</v>
      </c>
      <c r="AW23" s="50">
        <f>AW4*'Key Variables'!$C$8</f>
        <v>16666.666666666668</v>
      </c>
      <c r="AX23" s="6">
        <f>SUM(B23:AW23)</f>
        <v>500000.00000000023</v>
      </c>
    </row>
    <row r="24" spans="1:51" s="24" customFormat="1" hidden="1" x14ac:dyDescent="0.25">
      <c r="A24" s="13" t="s">
        <v>140</v>
      </c>
      <c r="B24" s="50">
        <f>B9*'Key Variables'!$C$11*'Key Variables'!$K$94/12</f>
        <v>43.402777777777779</v>
      </c>
      <c r="C24" s="50">
        <f>C9*'Key Variables'!$C$11*'Key Variables'!$K$94/12</f>
        <v>86.805555555555557</v>
      </c>
      <c r="D24" s="50">
        <f>D9*'Key Variables'!$C$11*'Key Variables'!$K$94/12</f>
        <v>130.20833333333334</v>
      </c>
      <c r="E24" s="50">
        <f>E9*'Key Variables'!$C$11*'Key Variables'!$K$94/12</f>
        <v>173.61111111111111</v>
      </c>
      <c r="F24" s="50">
        <f>F9*'Key Variables'!$C$11*'Key Variables'!$K$94/12</f>
        <v>217.01388888888891</v>
      </c>
      <c r="G24" s="50">
        <f>G9*'Key Variables'!$C$11*'Key Variables'!$K$94/12</f>
        <v>260.41666666666669</v>
      </c>
      <c r="H24" s="50">
        <f>H9*'Key Variables'!$C$11*'Key Variables'!$K$94/12</f>
        <v>303.8194444444444</v>
      </c>
      <c r="I24" s="50">
        <f>I9*'Key Variables'!$C$11*'Key Variables'!$K$94/12</f>
        <v>347.22222222222217</v>
      </c>
      <c r="J24" s="50">
        <f>J9*'Key Variables'!$C$11*'Key Variables'!$K$94/12</f>
        <v>390.62499999999994</v>
      </c>
      <c r="K24" s="50">
        <f>K9*'Key Variables'!$C$11*'Key Variables'!$K$94/12</f>
        <v>434.02777777777777</v>
      </c>
      <c r="L24" s="50">
        <f>L9*'Key Variables'!$C$11*'Key Variables'!$K$94/12</f>
        <v>477.43055555555549</v>
      </c>
      <c r="M24" s="50">
        <f>M9*'Key Variables'!$C$11*'Key Variables'!$K$94/12</f>
        <v>520.83333333333337</v>
      </c>
      <c r="N24" s="50">
        <f>N9*'Key Variables'!$C$11*'Key Variables'!$K$94/12</f>
        <v>607.6388888888888</v>
      </c>
      <c r="O24" s="50">
        <f>O9*'Key Variables'!$C$11*'Key Variables'!$K$94/12</f>
        <v>694.44444444444434</v>
      </c>
      <c r="P24" s="50">
        <f>P9*'Key Variables'!$C$11*'Key Variables'!$K$94/12</f>
        <v>781.24999999999989</v>
      </c>
      <c r="Q24" s="50">
        <f>Q9*'Key Variables'!$C$11*'Key Variables'!$K$94/12</f>
        <v>868.05555555555554</v>
      </c>
      <c r="R24" s="50">
        <f>R9*'Key Variables'!$C$11*'Key Variables'!$K$94/12</f>
        <v>954.86111111111097</v>
      </c>
      <c r="S24" s="50">
        <f>S9*'Key Variables'!$C$11*'Key Variables'!$K$94/12</f>
        <v>1041.6666666666667</v>
      </c>
      <c r="T24" s="50">
        <f>T9*'Key Variables'!$C$11*'Key Variables'!$K$94/12</f>
        <v>1128.4722222222224</v>
      </c>
      <c r="U24" s="50">
        <f>U9*'Key Variables'!$C$11*'Key Variables'!$K$94/12</f>
        <v>1215.2777777777778</v>
      </c>
      <c r="V24" s="50">
        <f>V9*'Key Variables'!$C$11*'Key Variables'!$K$94/12</f>
        <v>1302.0833333333335</v>
      </c>
      <c r="W24" s="50">
        <f>W9*'Key Variables'!$C$11*'Key Variables'!$K$94/12</f>
        <v>1388.8888888888889</v>
      </c>
      <c r="X24" s="50">
        <f>X9*'Key Variables'!$C$11*'Key Variables'!$K$94/12</f>
        <v>1475.6944444444446</v>
      </c>
      <c r="Y24" s="50">
        <f>Y9*'Key Variables'!$C$11*'Key Variables'!$K$94/12</f>
        <v>1562.5000000000007</v>
      </c>
      <c r="Z24" s="50">
        <f>Z9*'Key Variables'!$C$11*'Key Variables'!$K$94/12</f>
        <v>1692.7083333333337</v>
      </c>
      <c r="AA24" s="50">
        <f>AA9*'Key Variables'!$C$11*'Key Variables'!$K$94/12</f>
        <v>1822.916666666667</v>
      </c>
      <c r="AB24" s="50">
        <f>AB9*'Key Variables'!$C$11*'Key Variables'!$K$94/12</f>
        <v>1953.1250000000002</v>
      </c>
      <c r="AC24" s="50">
        <f>AC9*'Key Variables'!$C$11*'Key Variables'!$K$94/12</f>
        <v>2083.3333333333335</v>
      </c>
      <c r="AD24" s="50">
        <f>AD9*'Key Variables'!$C$11*'Key Variables'!$K$94/12</f>
        <v>2213.541666666667</v>
      </c>
      <c r="AE24" s="50">
        <f>AE9*'Key Variables'!$C$11*'Key Variables'!$K$94/12</f>
        <v>2343.7500000000005</v>
      </c>
      <c r="AF24" s="50">
        <f>AF9*'Key Variables'!$C$11*'Key Variables'!$K$94/12</f>
        <v>2473.9583333333335</v>
      </c>
      <c r="AG24" s="50">
        <f>AG9*'Key Variables'!$C$11*'Key Variables'!$K$94/12</f>
        <v>2604.166666666667</v>
      </c>
      <c r="AH24" s="50">
        <f>AH9*'Key Variables'!$C$11*'Key Variables'!$K$94/12</f>
        <v>2734.3750000000005</v>
      </c>
      <c r="AI24" s="50">
        <f>AI9*'Key Variables'!$C$11*'Key Variables'!$K$94/12</f>
        <v>2864.5833333333339</v>
      </c>
      <c r="AJ24" s="50">
        <f>AJ9*'Key Variables'!$C$11*'Key Variables'!$K$94/12</f>
        <v>2994.7916666666674</v>
      </c>
      <c r="AK24" s="50">
        <f>AK9*'Key Variables'!$C$11*'Key Variables'!$K$94/12</f>
        <v>3125.0000000000005</v>
      </c>
      <c r="AL24" s="50">
        <f>AL9*'Key Variables'!$C$11*'Key Variables'!$K$94/12</f>
        <v>3298.6111111111113</v>
      </c>
      <c r="AM24" s="50">
        <f>AM9*'Key Variables'!$C$11*'Key Variables'!$K$94/12</f>
        <v>3472.2222222222226</v>
      </c>
      <c r="AN24" s="50">
        <f>AN9*'Key Variables'!$C$11*'Key Variables'!$K$94/12</f>
        <v>3645.8333333333335</v>
      </c>
      <c r="AO24" s="50">
        <f>AO9*'Key Variables'!$C$11*'Key Variables'!$K$94/12</f>
        <v>3819.4444444444439</v>
      </c>
      <c r="AP24" s="50">
        <f>AP9*'Key Variables'!$C$11*'Key Variables'!$K$94/12</f>
        <v>3993.0555555555552</v>
      </c>
      <c r="AQ24" s="50">
        <f>AQ9*'Key Variables'!$C$11*'Key Variables'!$K$94/12</f>
        <v>4166.6666666666661</v>
      </c>
      <c r="AR24" s="50">
        <f>AR9*'Key Variables'!$C$11*'Key Variables'!$K$94/12</f>
        <v>4340.2777777777765</v>
      </c>
      <c r="AS24" s="50">
        <f>AS9*'Key Variables'!$C$11*'Key Variables'!$K$94/12</f>
        <v>4513.8888888888878</v>
      </c>
      <c r="AT24" s="50">
        <f>AT9*'Key Variables'!$C$11*'Key Variables'!$K$94/12</f>
        <v>4687.4999999999973</v>
      </c>
      <c r="AU24" s="50">
        <f>AU9*'Key Variables'!$C$11*'Key Variables'!$K$94/12</f>
        <v>4861.1111111111095</v>
      </c>
      <c r="AV24" s="50">
        <f>AV9*'Key Variables'!$C$11*'Key Variables'!$K$94/12</f>
        <v>5034.7222222222199</v>
      </c>
      <c r="AW24" s="50">
        <f>AW9*'Key Variables'!$C$11*'Key Variables'!$K$94/12</f>
        <v>5208.3333333333312</v>
      </c>
      <c r="AX24" s="6">
        <f>SUM(B24:AW24)</f>
        <v>96354.166666666657</v>
      </c>
    </row>
    <row r="25" spans="1:51" s="24" customFormat="1" hidden="1" x14ac:dyDescent="0.25">
      <c r="A25" s="13" t="s">
        <v>146</v>
      </c>
      <c r="B25" s="50">
        <f>B19*'Key Variables'!$C$12</f>
        <v>1562.5000000000002</v>
      </c>
      <c r="C25" s="50">
        <f>C19*'Key Variables'!$C$12</f>
        <v>3125.0000000000005</v>
      </c>
      <c r="D25" s="50">
        <f>D19*'Key Variables'!$C$12</f>
        <v>4687.5</v>
      </c>
      <c r="E25" s="50">
        <f>E19*'Key Variables'!$C$12</f>
        <v>6250.0000000000009</v>
      </c>
      <c r="F25" s="50">
        <f>F19*'Key Variables'!$C$12</f>
        <v>7812.5000000000009</v>
      </c>
      <c r="G25" s="50">
        <f>G19*'Key Variables'!$C$12</f>
        <v>9375</v>
      </c>
      <c r="H25" s="50">
        <f>H19*'Key Variables'!$C$12</f>
        <v>10937.499999999998</v>
      </c>
      <c r="I25" s="50">
        <f>I19*'Key Variables'!$C$12</f>
        <v>12499.999999999998</v>
      </c>
      <c r="J25" s="50">
        <f>J19*'Key Variables'!$C$12</f>
        <v>14062.499999999998</v>
      </c>
      <c r="K25" s="50">
        <f>K19*'Key Variables'!$C$12</f>
        <v>15624.999999999998</v>
      </c>
      <c r="L25" s="50">
        <f>L19*'Key Variables'!$C$12</f>
        <v>17187.5</v>
      </c>
      <c r="M25" s="50">
        <f>M19*'Key Variables'!$C$12</f>
        <v>18750</v>
      </c>
      <c r="N25" s="50">
        <f>N19*'Key Variables'!$C$12</f>
        <v>21874.999999999996</v>
      </c>
      <c r="O25" s="50">
        <f>O19*'Key Variables'!$C$12</f>
        <v>24999.999999999996</v>
      </c>
      <c r="P25" s="50">
        <f>P19*'Key Variables'!$C$12</f>
        <v>28124.999999999996</v>
      </c>
      <c r="Q25" s="50">
        <f>Q19*'Key Variables'!$C$12</f>
        <v>31249.999999999996</v>
      </c>
      <c r="R25" s="50">
        <f>R19*'Key Variables'!$C$12</f>
        <v>34375</v>
      </c>
      <c r="S25" s="50">
        <f>S19*'Key Variables'!$C$12</f>
        <v>37500</v>
      </c>
      <c r="T25" s="50">
        <f>T19*'Key Variables'!$C$12</f>
        <v>40625.000000000007</v>
      </c>
      <c r="U25" s="50">
        <f>U19*'Key Variables'!$C$12</f>
        <v>43750.000000000007</v>
      </c>
      <c r="V25" s="50">
        <f>V19*'Key Variables'!$C$12</f>
        <v>46875.000000000007</v>
      </c>
      <c r="W25" s="50">
        <f>W19*'Key Variables'!$C$12</f>
        <v>50000.000000000007</v>
      </c>
      <c r="X25" s="50">
        <f>X19*'Key Variables'!$C$12</f>
        <v>53125.000000000015</v>
      </c>
      <c r="Y25" s="50">
        <f>Y19*'Key Variables'!$C$12</f>
        <v>56250.000000000022</v>
      </c>
      <c r="Z25" s="50">
        <f>Z19*'Key Variables'!$C$12</f>
        <v>60937.500000000015</v>
      </c>
      <c r="AA25" s="50">
        <f>AA19*'Key Variables'!$C$12</f>
        <v>65625.000000000015</v>
      </c>
      <c r="AB25" s="50">
        <f>AB19*'Key Variables'!$C$12</f>
        <v>70312.500000000015</v>
      </c>
      <c r="AC25" s="50">
        <f>AC19*'Key Variables'!$C$12</f>
        <v>75000.000000000015</v>
      </c>
      <c r="AD25" s="50">
        <f>AD19*'Key Variables'!$C$12</f>
        <v>79687.500000000015</v>
      </c>
      <c r="AE25" s="50">
        <f>AE19*'Key Variables'!$C$12</f>
        <v>84375.000000000015</v>
      </c>
      <c r="AF25" s="50">
        <f>AF19*'Key Variables'!$C$12</f>
        <v>89062.500000000015</v>
      </c>
      <c r="AG25" s="50">
        <f>AG19*'Key Variables'!$C$12</f>
        <v>93750.000000000015</v>
      </c>
      <c r="AH25" s="50">
        <f>AH19*'Key Variables'!$C$12</f>
        <v>98437.500000000015</v>
      </c>
      <c r="AI25" s="50">
        <f>AI19*'Key Variables'!$C$12</f>
        <v>103125.00000000001</v>
      </c>
      <c r="AJ25" s="50">
        <f>AJ19*'Key Variables'!$C$12</f>
        <v>107812.50000000001</v>
      </c>
      <c r="AK25" s="50">
        <f>AK19*'Key Variables'!$C$12</f>
        <v>112500.00000000001</v>
      </c>
      <c r="AL25" s="50">
        <f>AL19*'Key Variables'!$C$12</f>
        <v>118750.00000000001</v>
      </c>
      <c r="AM25" s="50">
        <f>AM19*'Key Variables'!$C$12</f>
        <v>125000.00000000001</v>
      </c>
      <c r="AN25" s="50">
        <f>AN19*'Key Variables'!$C$12</f>
        <v>131250</v>
      </c>
      <c r="AO25" s="50">
        <f>AO19*'Key Variables'!$C$12</f>
        <v>137500</v>
      </c>
      <c r="AP25" s="50">
        <f>AP19*'Key Variables'!$C$12</f>
        <v>143749.99999999997</v>
      </c>
      <c r="AQ25" s="50">
        <f>AQ19*'Key Variables'!$C$12</f>
        <v>149999.99999999997</v>
      </c>
      <c r="AR25" s="50">
        <f>AR19*'Key Variables'!$C$12</f>
        <v>156249.99999999997</v>
      </c>
      <c r="AS25" s="50">
        <f>AS19*'Key Variables'!$C$12</f>
        <v>162499.99999999994</v>
      </c>
      <c r="AT25" s="50">
        <f>AT19*'Key Variables'!$C$12</f>
        <v>168749.99999999991</v>
      </c>
      <c r="AU25" s="50">
        <f>AU19*'Key Variables'!$C$12</f>
        <v>174999.99999999994</v>
      </c>
      <c r="AV25" s="50">
        <f>AV19*'Key Variables'!$C$12</f>
        <v>181249.99999999994</v>
      </c>
      <c r="AW25" s="50">
        <f>AW19*'Key Variables'!$C$12</f>
        <v>187499.99999999991</v>
      </c>
      <c r="AX25" s="6">
        <f t="shared" ref="AX25:AX34" si="4">SUM(B25:AW25)</f>
        <v>3468750</v>
      </c>
    </row>
    <row r="26" spans="1:51" s="24" customFormat="1" hidden="1" x14ac:dyDescent="0.25">
      <c r="A26" s="13" t="s">
        <v>163</v>
      </c>
      <c r="B26" s="50"/>
      <c r="C26" s="50"/>
      <c r="D26" s="50"/>
      <c r="E26" s="50"/>
      <c r="F26" s="50"/>
      <c r="G26" s="50"/>
      <c r="H26" s="50">
        <f>B12*'Key Variables'!$C$9/12</f>
        <v>52.083333333333343</v>
      </c>
      <c r="I26" s="50">
        <f>C12*'Key Variables'!$C$9/12</f>
        <v>104.16666666666669</v>
      </c>
      <c r="J26" s="50">
        <f>D12*'Key Variables'!$C$9/12</f>
        <v>156.25</v>
      </c>
      <c r="K26" s="50">
        <f>E12*'Key Variables'!$C$9/12</f>
        <v>208.33333333333337</v>
      </c>
      <c r="L26" s="50">
        <f>F12*'Key Variables'!$C$9/12</f>
        <v>260.41666666666669</v>
      </c>
      <c r="M26" s="50">
        <f>G12*'Key Variables'!$C$9/12</f>
        <v>312.5</v>
      </c>
      <c r="N26" s="50">
        <f>H12*'Key Variables'!$C$9/12</f>
        <v>364.58333333333326</v>
      </c>
      <c r="O26" s="50">
        <f>I12*'Key Variables'!$C$9/12</f>
        <v>416.66666666666669</v>
      </c>
      <c r="P26" s="50">
        <f>J12*'Key Variables'!$C$9/12</f>
        <v>468.74999999999994</v>
      </c>
      <c r="Q26" s="50">
        <f>K12*'Key Variables'!$C$9/12</f>
        <v>520.83333333333326</v>
      </c>
      <c r="R26" s="50">
        <f>L12*'Key Variables'!$C$9/12</f>
        <v>572.91666666666663</v>
      </c>
      <c r="S26" s="50">
        <f>M12*'Key Variables'!$C$9/12</f>
        <v>625</v>
      </c>
      <c r="T26" s="50">
        <f>N12*'Key Variables'!$C$9/12</f>
        <v>729.16666666666652</v>
      </c>
      <c r="U26" s="50">
        <f>O12*'Key Variables'!$C$9/12</f>
        <v>833.33333333333337</v>
      </c>
      <c r="V26" s="50">
        <f>P12*'Key Variables'!$C$9/12</f>
        <v>937.49999999999989</v>
      </c>
      <c r="W26" s="50">
        <f>Q12*'Key Variables'!$C$9/12</f>
        <v>1041.6666666666665</v>
      </c>
      <c r="X26" s="50">
        <f>R12*'Key Variables'!$C$9/12</f>
        <v>1145.8333333333333</v>
      </c>
      <c r="Y26" s="50">
        <f>S12*'Key Variables'!$C$9/12</f>
        <v>1250</v>
      </c>
      <c r="Z26" s="50">
        <f>T12*'Key Variables'!$C$9/12</f>
        <v>1354.166666666667</v>
      </c>
      <c r="AA26" s="50">
        <f>U12*'Key Variables'!$C$9/12</f>
        <v>1458.3333333333333</v>
      </c>
      <c r="AB26" s="50">
        <f>V12*'Key Variables'!$C$9/12</f>
        <v>1562.5000000000002</v>
      </c>
      <c r="AC26" s="50">
        <f>W12*'Key Variables'!$C$9/12</f>
        <v>1666.666666666667</v>
      </c>
      <c r="AD26" s="50">
        <f>X12*'Key Variables'!$C$9/12</f>
        <v>1770.8333333333337</v>
      </c>
      <c r="AE26" s="50">
        <f>Y12*'Key Variables'!$C$9/12</f>
        <v>1875.0000000000007</v>
      </c>
      <c r="AF26" s="50">
        <f>Z12*'Key Variables'!$C$9/12</f>
        <v>2031.2500000000002</v>
      </c>
      <c r="AG26" s="50">
        <f>AA12*'Key Variables'!$C$9/12</f>
        <v>2187.5000000000005</v>
      </c>
      <c r="AH26" s="50">
        <f>AB12*'Key Variables'!$C$9/12</f>
        <v>2343.7500000000005</v>
      </c>
      <c r="AI26" s="50">
        <f>AC12*'Key Variables'!$C$9/12</f>
        <v>2500.0000000000005</v>
      </c>
      <c r="AJ26" s="50">
        <f>AD12*'Key Variables'!$C$9/12</f>
        <v>2656.2500000000005</v>
      </c>
      <c r="AK26" s="50">
        <f>AE12*'Key Variables'!$C$9/12</f>
        <v>2812.5000000000005</v>
      </c>
      <c r="AL26" s="50">
        <f>AF12*'Key Variables'!$C$9/12</f>
        <v>2968.7500000000005</v>
      </c>
      <c r="AM26" s="50">
        <f>AG12*'Key Variables'!$C$9/12</f>
        <v>3125.0000000000005</v>
      </c>
      <c r="AN26" s="50">
        <f>AH12*'Key Variables'!$C$9/12</f>
        <v>3281.2500000000005</v>
      </c>
      <c r="AO26" s="50">
        <f>AI12*'Key Variables'!$C$9/12</f>
        <v>3437.5000000000005</v>
      </c>
      <c r="AP26" s="50">
        <f>AJ12*'Key Variables'!$C$9/12</f>
        <v>3593.7500000000005</v>
      </c>
      <c r="AQ26" s="50">
        <f>AK12*'Key Variables'!$C$9/12</f>
        <v>3750.0000000000005</v>
      </c>
      <c r="AR26" s="50">
        <f>AL12*'Key Variables'!$C$9/12</f>
        <v>3958.3333333333339</v>
      </c>
      <c r="AS26" s="50">
        <f>AM12*'Key Variables'!$C$9/12</f>
        <v>4166.666666666667</v>
      </c>
      <c r="AT26" s="50">
        <f>AN12*'Key Variables'!$C$9/12</f>
        <v>4375</v>
      </c>
      <c r="AU26" s="50">
        <f>AO12*'Key Variables'!$C$9/12</f>
        <v>4583.333333333333</v>
      </c>
      <c r="AV26" s="50">
        <f>AP12*'Key Variables'!$C$9/12</f>
        <v>4791.6666666666661</v>
      </c>
      <c r="AW26" s="50">
        <f>AQ12*'Key Variables'!$C$9/12</f>
        <v>4999.9999999999991</v>
      </c>
      <c r="AX26" s="50">
        <f>AX12*'Key Variables'!$C$9/12</f>
        <v>125</v>
      </c>
    </row>
    <row r="27" spans="1:51" s="24" customFormat="1" hidden="1" x14ac:dyDescent="0.25">
      <c r="A27" s="13" t="s">
        <v>148</v>
      </c>
      <c r="B27" s="50">
        <f>B13*'Key Variables'!$C$10/12</f>
        <v>173.61111111111111</v>
      </c>
      <c r="C27" s="50">
        <f>C13*'Key Variables'!$C$10/12</f>
        <v>347.22222222222223</v>
      </c>
      <c r="D27" s="50">
        <f>D13*'Key Variables'!$C$10/12</f>
        <v>520.83333333333337</v>
      </c>
      <c r="E27" s="50">
        <f>E13*'Key Variables'!$C$10/12</f>
        <v>694.44444444444446</v>
      </c>
      <c r="F27" s="50">
        <f>F13*'Key Variables'!$C$10/12</f>
        <v>868.05555555555566</v>
      </c>
      <c r="G27" s="50">
        <f>G13*'Key Variables'!$C$10/12</f>
        <v>1041.6666666666667</v>
      </c>
      <c r="H27" s="50">
        <f>H13*'Key Variables'!$C$10/12</f>
        <v>1215.2777777777776</v>
      </c>
      <c r="I27" s="50">
        <f>I13*'Key Variables'!$C$10/12</f>
        <v>1388.8888888888887</v>
      </c>
      <c r="J27" s="50">
        <f>J13*'Key Variables'!$C$10/12</f>
        <v>1562.4999999999998</v>
      </c>
      <c r="K27" s="50">
        <f>K13*'Key Variables'!$C$10/12</f>
        <v>1736.1111111111111</v>
      </c>
      <c r="L27" s="50">
        <f>L13*'Key Variables'!$C$10/12</f>
        <v>1909.7222222222219</v>
      </c>
      <c r="M27" s="50">
        <f>M13*'Key Variables'!$C$10/12</f>
        <v>2083.3333333333335</v>
      </c>
      <c r="N27" s="50">
        <f>N13*'Key Variables'!$C$10/12</f>
        <v>2430.5555555555552</v>
      </c>
      <c r="O27" s="50">
        <f>O13*'Key Variables'!$C$10/12</f>
        <v>2777.7777777777774</v>
      </c>
      <c r="P27" s="50">
        <f>P13*'Key Variables'!$C$10/12</f>
        <v>3124.9999999999995</v>
      </c>
      <c r="Q27" s="50">
        <f>Q13*'Key Variables'!$C$10/12</f>
        <v>3472.2222222222222</v>
      </c>
      <c r="R27" s="50">
        <f>R13*'Key Variables'!$C$10/12</f>
        <v>3819.4444444444439</v>
      </c>
      <c r="S27" s="50">
        <f>S13*'Key Variables'!$C$10/12</f>
        <v>4166.666666666667</v>
      </c>
      <c r="T27" s="50">
        <f>T13*'Key Variables'!$C$10/12</f>
        <v>4513.8888888888896</v>
      </c>
      <c r="U27" s="50">
        <f>U13*'Key Variables'!$C$10/12</f>
        <v>4861.1111111111113</v>
      </c>
      <c r="V27" s="50">
        <f>V13*'Key Variables'!$C$10/12</f>
        <v>5208.3333333333339</v>
      </c>
      <c r="W27" s="50">
        <f>W13*'Key Variables'!$C$10/12</f>
        <v>5555.5555555555557</v>
      </c>
      <c r="X27" s="50">
        <f>X13*'Key Variables'!$C$10/12</f>
        <v>5902.7777777777783</v>
      </c>
      <c r="Y27" s="50">
        <f>Y13*'Key Variables'!$C$10/12</f>
        <v>6250.0000000000027</v>
      </c>
      <c r="Z27" s="50">
        <f>Z13*'Key Variables'!$C$10/12</f>
        <v>6770.8333333333348</v>
      </c>
      <c r="AA27" s="50">
        <f>AA13*'Key Variables'!$C$10/12</f>
        <v>7291.6666666666679</v>
      </c>
      <c r="AB27" s="50">
        <f>AB13*'Key Variables'!$C$10/12</f>
        <v>7812.5000000000009</v>
      </c>
      <c r="AC27" s="50">
        <f>AC13*'Key Variables'!$C$10/12</f>
        <v>8333.3333333333339</v>
      </c>
      <c r="AD27" s="50">
        <f>AD13*'Key Variables'!$C$10/12</f>
        <v>8854.1666666666679</v>
      </c>
      <c r="AE27" s="50">
        <f>AE13*'Key Variables'!$C$10/12</f>
        <v>9375.0000000000018</v>
      </c>
      <c r="AF27" s="50">
        <f>AF13*'Key Variables'!$C$10/12</f>
        <v>9895.8333333333339</v>
      </c>
      <c r="AG27" s="50">
        <f>AG13*'Key Variables'!$C$10/12</f>
        <v>10416.666666666668</v>
      </c>
      <c r="AH27" s="50">
        <f>AH13*'Key Variables'!$C$10/12</f>
        <v>10937.500000000002</v>
      </c>
      <c r="AI27" s="50">
        <f>AI13*'Key Variables'!$C$10/12</f>
        <v>11458.333333333336</v>
      </c>
      <c r="AJ27" s="50">
        <f>AJ13*'Key Variables'!$C$10/12</f>
        <v>11979.16666666667</v>
      </c>
      <c r="AK27" s="50">
        <f>AK13*'Key Variables'!$C$10/12</f>
        <v>12500.000000000002</v>
      </c>
      <c r="AL27" s="50">
        <f>AL13*'Key Variables'!$C$10/12</f>
        <v>13194.444444444445</v>
      </c>
      <c r="AM27" s="50">
        <f>AM13*'Key Variables'!$C$10/12</f>
        <v>13888.888888888891</v>
      </c>
      <c r="AN27" s="50">
        <f>AN13*'Key Variables'!$C$10/12</f>
        <v>14583.333333333334</v>
      </c>
      <c r="AO27" s="50">
        <f>AO13*'Key Variables'!$C$10/12</f>
        <v>15277.777777777776</v>
      </c>
      <c r="AP27" s="50">
        <f>AP13*'Key Variables'!$C$10/12</f>
        <v>15972.222222222221</v>
      </c>
      <c r="AQ27" s="50">
        <f>AQ13*'Key Variables'!$C$10/12</f>
        <v>16666.666666666664</v>
      </c>
      <c r="AR27" s="50">
        <f>AR13*'Key Variables'!$C$10/12</f>
        <v>17361.111111111106</v>
      </c>
      <c r="AS27" s="50">
        <f>AS13*'Key Variables'!$C$10/12</f>
        <v>18055.555555555551</v>
      </c>
      <c r="AT27" s="50">
        <f>AT13*'Key Variables'!$C$10/12</f>
        <v>18749.999999999989</v>
      </c>
      <c r="AU27" s="50">
        <f>AU13*'Key Variables'!$C$10/12</f>
        <v>19444.444444444438</v>
      </c>
      <c r="AV27" s="50">
        <f>AV13*'Key Variables'!$C$10/12</f>
        <v>20138.88888888888</v>
      </c>
      <c r="AW27" s="50">
        <f>AW13*'Key Variables'!$C$10/12</f>
        <v>20833.333333333325</v>
      </c>
      <c r="AX27" s="6">
        <f t="shared" si="4"/>
        <v>385416.66666666663</v>
      </c>
    </row>
    <row r="28" spans="1:51" s="24" customFormat="1" hidden="1" x14ac:dyDescent="0.25">
      <c r="A28" s="13" t="s">
        <v>250</v>
      </c>
      <c r="B28" s="225">
        <f>B4*'Key Variables'!$C$10/12*'Key Variables'!$J$96</f>
        <v>0</v>
      </c>
      <c r="C28" s="225">
        <f>SUM($B$4:C4)*'Key Variables'!$C$10/12*'Key Variables'!$J$96</f>
        <v>0</v>
      </c>
      <c r="D28" s="225">
        <f>SUM($B$4:D4)*'Key Variables'!$C$10/12*'Key Variables'!$J$96</f>
        <v>0</v>
      </c>
      <c r="E28" s="225">
        <f>SUM($B$4:E4)*'Key Variables'!$C$10/12*'Key Variables'!$J$96</f>
        <v>0</v>
      </c>
      <c r="F28" s="225">
        <f>SUM($B$4:F4)*'Key Variables'!$C$10/12*'Key Variables'!$J$96</f>
        <v>0</v>
      </c>
      <c r="G28" s="225">
        <f>SUM($B$4:G4)*'Key Variables'!$C$10/12*'Key Variables'!$J$96</f>
        <v>0</v>
      </c>
      <c r="H28" s="225">
        <f>SUM($B$4:H4)*'Key Variables'!$C$10/12*'Key Variables'!$J$96</f>
        <v>0</v>
      </c>
      <c r="I28" s="225">
        <f>SUM($B$4:I4)*'Key Variables'!$C$10/12*'Key Variables'!$J$96</f>
        <v>0</v>
      </c>
      <c r="J28" s="225">
        <f>SUM($B$4:J4)*'Key Variables'!$C$10/12*'Key Variables'!$J$96</f>
        <v>0</v>
      </c>
      <c r="K28" s="225">
        <f>SUM($B$4:K4)*'Key Variables'!$C$10/12*'Key Variables'!$J$96</f>
        <v>0</v>
      </c>
      <c r="L28" s="225">
        <f>SUM($B$4:L4)*'Key Variables'!$C$10/12*'Key Variables'!$J$96</f>
        <v>0</v>
      </c>
      <c r="M28" s="225">
        <f>SUM($B$4:M4)*'Key Variables'!$C$10/12*'Key Variables'!$J$96</f>
        <v>0</v>
      </c>
      <c r="N28" s="225">
        <f>SUM($B$4:N4)*'Key Variables'!$C$10/12*'Key Variables'!$J$96</f>
        <v>0</v>
      </c>
      <c r="O28" s="225">
        <f>SUM($B$4:O4)*'Key Variables'!$C$10/12*'Key Variables'!$J$96</f>
        <v>0</v>
      </c>
      <c r="P28" s="225">
        <f>SUM($B$4:P4)*'Key Variables'!$C$10/12*'Key Variables'!$J$96</f>
        <v>0</v>
      </c>
      <c r="Q28" s="225">
        <f>SUM($B$4:Q4)*'Key Variables'!$C$10/12*'Key Variables'!$J$96</f>
        <v>0</v>
      </c>
      <c r="R28" s="225">
        <f>SUM($B$4:R4)*'Key Variables'!$C$10/12*'Key Variables'!$J$96</f>
        <v>0</v>
      </c>
      <c r="S28" s="225">
        <f>SUM($B$4:S4)*'Key Variables'!$C$10/12*'Key Variables'!$J$96</f>
        <v>0</v>
      </c>
      <c r="T28" s="225">
        <f>SUM($B$4:T4)*'Key Variables'!$C$10/12*'Key Variables'!$J$96</f>
        <v>0</v>
      </c>
      <c r="U28" s="225">
        <f>SUM($B$4:U4)*'Key Variables'!$C$10/12*'Key Variables'!$J$96</f>
        <v>0</v>
      </c>
      <c r="V28" s="225">
        <f>SUM($B$4:V4)*'Key Variables'!$C$10/12*'Key Variables'!$J$96</f>
        <v>0</v>
      </c>
      <c r="W28" s="225">
        <f>SUM($B$4:W4)*'Key Variables'!$C$10/12*'Key Variables'!$J$96</f>
        <v>0</v>
      </c>
      <c r="X28" s="225">
        <f>SUM($B$4:X4)*'Key Variables'!$C$10/12*'Key Variables'!$J$96</f>
        <v>0</v>
      </c>
      <c r="Y28" s="225">
        <f>SUM($B$4:Y4)*'Key Variables'!$C$10/12*'Key Variables'!$J$96</f>
        <v>0</v>
      </c>
      <c r="Z28" s="225">
        <f>SUM(C4:Z4)*'Key Variables'!$C$10/12*'Key Variables'!$J$96</f>
        <v>0</v>
      </c>
      <c r="AA28" s="225">
        <f>SUM(D4:AA4)*'Key Variables'!$C$10/12*'Key Variables'!$J$96</f>
        <v>0</v>
      </c>
      <c r="AB28" s="225">
        <f>SUM(E4:AB4)*'Key Variables'!$C$10/12*'Key Variables'!$J$96</f>
        <v>0</v>
      </c>
      <c r="AC28" s="225">
        <f>SUM(F4:AC4)*'Key Variables'!$C$10/12*'Key Variables'!$J$96</f>
        <v>0</v>
      </c>
      <c r="AD28" s="225">
        <f>SUM(G4:AD4)*'Key Variables'!$C$10/12*'Key Variables'!$J$96</f>
        <v>0</v>
      </c>
      <c r="AE28" s="225">
        <f>SUM(H4:AE4)*'Key Variables'!$C$10/12*'Key Variables'!$J$96</f>
        <v>0</v>
      </c>
      <c r="AF28" s="225">
        <f>SUM(I4:AF4)*'Key Variables'!$C$10/12*'Key Variables'!$J$96</f>
        <v>0</v>
      </c>
      <c r="AG28" s="225">
        <f>SUM(J4:AG4)*'Key Variables'!$C$10/12*'Key Variables'!$J$96</f>
        <v>0</v>
      </c>
      <c r="AH28" s="225">
        <f>SUM(K4:AH4)*'Key Variables'!$C$10/12*'Key Variables'!$J$96</f>
        <v>0</v>
      </c>
      <c r="AI28" s="225">
        <f>SUM(L4:AI4)*'Key Variables'!$C$10/12*'Key Variables'!$J$96</f>
        <v>0</v>
      </c>
      <c r="AJ28" s="225">
        <f>SUM(M4:AJ4)*'Key Variables'!$C$10/12*'Key Variables'!$J$96</f>
        <v>0</v>
      </c>
      <c r="AK28" s="225">
        <f>SUM(N4:AK4)*'Key Variables'!$C$10/12*'Key Variables'!$J$96</f>
        <v>0</v>
      </c>
      <c r="AL28" s="225">
        <f>SUM(O4:AL4)*'Key Variables'!$C$10/12*'Key Variables'!$J$96</f>
        <v>0</v>
      </c>
      <c r="AM28" s="225">
        <f>SUM(P4:AM4)*'Key Variables'!$C$10/12*'Key Variables'!$J$96</f>
        <v>0</v>
      </c>
      <c r="AN28" s="225">
        <f>SUM(Q4:AN4)*'Key Variables'!$C$10/12*'Key Variables'!$J$96</f>
        <v>0</v>
      </c>
      <c r="AO28" s="225">
        <f>SUM(R4:AO4)*'Key Variables'!$C$10/12*'Key Variables'!$J$96</f>
        <v>0</v>
      </c>
      <c r="AP28" s="225">
        <f>SUM(S4:AP4)*'Key Variables'!$C$10/12*'Key Variables'!$J$96</f>
        <v>0</v>
      </c>
      <c r="AQ28" s="225">
        <f>SUM(T4:AQ4)*'Key Variables'!$C$10/12*'Key Variables'!$J$96</f>
        <v>0</v>
      </c>
      <c r="AR28" s="225">
        <f>SUM(U4:AR4)*'Key Variables'!$C$10/12*'Key Variables'!$J$96</f>
        <v>0</v>
      </c>
      <c r="AS28" s="225">
        <f>SUM(V4:AS4)*'Key Variables'!$C$10/12*'Key Variables'!$J$96</f>
        <v>0</v>
      </c>
      <c r="AT28" s="225">
        <f>SUM(W4:AT4)*'Key Variables'!$C$10/12*'Key Variables'!$J$96</f>
        <v>0</v>
      </c>
      <c r="AU28" s="225">
        <f>SUM(X4:AU4)*'Key Variables'!$C$10/12*'Key Variables'!$J$96</f>
        <v>0</v>
      </c>
      <c r="AV28" s="225">
        <f>SUM(Y4:AV4)*'Key Variables'!$C$10/12*'Key Variables'!$J$96</f>
        <v>0</v>
      </c>
      <c r="AW28" s="225">
        <f>SUM(Z4:AW4)*'Key Variables'!$C$10/12*'Key Variables'!$J$96</f>
        <v>0</v>
      </c>
      <c r="AX28" s="6">
        <f t="shared" si="4"/>
        <v>0</v>
      </c>
      <c r="AY28" s="24">
        <f>AX28/AX27</f>
        <v>0</v>
      </c>
    </row>
    <row r="29" spans="1:51" s="24" customFormat="1" hidden="1" x14ac:dyDescent="0.25">
      <c r="A29" s="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6"/>
    </row>
    <row r="30" spans="1:51" hidden="1" x14ac:dyDescent="0.25">
      <c r="A30" s="13" t="s">
        <v>149</v>
      </c>
      <c r="B30" s="50">
        <f>B23*(1-'Key Variables'!$C$18)</f>
        <v>2708.3333333333335</v>
      </c>
      <c r="C30" s="50">
        <f>C23*(1-'Key Variables'!$C$18)</f>
        <v>2708.3333333333335</v>
      </c>
      <c r="D30" s="50">
        <f>D23*(1-'Key Variables'!$C$18)</f>
        <v>2708.3333333333335</v>
      </c>
      <c r="E30" s="50">
        <f>E23*(1-'Key Variables'!$C$18)</f>
        <v>2708.3333333333335</v>
      </c>
      <c r="F30" s="50">
        <f>F23*(1-'Key Variables'!$C$18)</f>
        <v>2708.3333333333335</v>
      </c>
      <c r="G30" s="50">
        <f>G23*(1-'Key Variables'!$C$18)</f>
        <v>2708.3333333333335</v>
      </c>
      <c r="H30" s="50">
        <f>H23*(1-'Key Variables'!$C$18)</f>
        <v>2708.3333333333335</v>
      </c>
      <c r="I30" s="50">
        <f>I23*(1-'Key Variables'!$C$18)</f>
        <v>2708.3333333333335</v>
      </c>
      <c r="J30" s="50">
        <f>J23*(1-'Key Variables'!$C$18)</f>
        <v>2708.3333333333335</v>
      </c>
      <c r="K30" s="50">
        <f>K23*(1-'Key Variables'!$C$18)</f>
        <v>2708.3333333333335</v>
      </c>
      <c r="L30" s="50">
        <f>L23*(1-'Key Variables'!$C$18)</f>
        <v>2708.3333333333335</v>
      </c>
      <c r="M30" s="50">
        <f>M23*(1-'Key Variables'!$C$18)</f>
        <v>2708.3333333333335</v>
      </c>
      <c r="N30" s="50">
        <f>N23*(1-'Key Variables'!$C$18)</f>
        <v>5416.666666666667</v>
      </c>
      <c r="O30" s="50">
        <f>O23*(1-'Key Variables'!$C$18)</f>
        <v>5416.666666666667</v>
      </c>
      <c r="P30" s="50">
        <f>P23*(1-'Key Variables'!$C$18)</f>
        <v>5416.666666666667</v>
      </c>
      <c r="Q30" s="50">
        <f>Q23*(1-'Key Variables'!$C$18)</f>
        <v>5416.666666666667</v>
      </c>
      <c r="R30" s="50">
        <f>R23*(1-'Key Variables'!$C$18)</f>
        <v>5416.666666666667</v>
      </c>
      <c r="S30" s="50">
        <f>S23*(1-'Key Variables'!$C$18)</f>
        <v>5416.666666666667</v>
      </c>
      <c r="T30" s="50">
        <f>T23*(1-'Key Variables'!$C$18)</f>
        <v>5416.666666666667</v>
      </c>
      <c r="U30" s="50">
        <f>U23*(1-'Key Variables'!$C$18)</f>
        <v>5416.666666666667</v>
      </c>
      <c r="V30" s="50">
        <f>V23*(1-'Key Variables'!$C$18)</f>
        <v>5416.666666666667</v>
      </c>
      <c r="W30" s="50">
        <f>W23*(1-'Key Variables'!$C$18)</f>
        <v>5416.666666666667</v>
      </c>
      <c r="X30" s="50">
        <f>X23*(1-'Key Variables'!$C$18)</f>
        <v>5416.666666666667</v>
      </c>
      <c r="Y30" s="50">
        <f>Y23*(1-'Key Variables'!$C$18)</f>
        <v>5416.666666666667</v>
      </c>
      <c r="Z30" s="50">
        <f>Z23*(1-'Key Variables'!$C$18)</f>
        <v>8125</v>
      </c>
      <c r="AA30" s="50">
        <f>AA23*(1-'Key Variables'!$C$18)</f>
        <v>8125</v>
      </c>
      <c r="AB30" s="50">
        <f>AB23*(1-'Key Variables'!$C$18)</f>
        <v>8125</v>
      </c>
      <c r="AC30" s="50">
        <f>AC23*(1-'Key Variables'!$C$18)</f>
        <v>8125</v>
      </c>
      <c r="AD30" s="50">
        <f>AD23*(1-'Key Variables'!$C$18)</f>
        <v>8125</v>
      </c>
      <c r="AE30" s="50">
        <f>AE23*(1-'Key Variables'!$C$18)</f>
        <v>8125</v>
      </c>
      <c r="AF30" s="50">
        <f>AF23*(1-'Key Variables'!$C$18)</f>
        <v>8125</v>
      </c>
      <c r="AG30" s="50">
        <f>AG23*(1-'Key Variables'!$C$18)</f>
        <v>8125</v>
      </c>
      <c r="AH30" s="50">
        <f>AH23*(1-'Key Variables'!$C$18)</f>
        <v>8125</v>
      </c>
      <c r="AI30" s="50">
        <f>AI23*(1-'Key Variables'!$C$18)</f>
        <v>8125</v>
      </c>
      <c r="AJ30" s="50">
        <f>AJ23*(1-'Key Variables'!$C$18)</f>
        <v>8125</v>
      </c>
      <c r="AK30" s="50">
        <f>AK23*(1-'Key Variables'!$C$18)</f>
        <v>8125</v>
      </c>
      <c r="AL30" s="50">
        <f>AL23*(1-'Key Variables'!$C$18)</f>
        <v>10833.333333333334</v>
      </c>
      <c r="AM30" s="50">
        <f>AM23*(1-'Key Variables'!$C$18)</f>
        <v>10833.333333333334</v>
      </c>
      <c r="AN30" s="50">
        <f>AN23*(1-'Key Variables'!$C$18)</f>
        <v>10833.333333333334</v>
      </c>
      <c r="AO30" s="50">
        <f>AO23*(1-'Key Variables'!$C$18)</f>
        <v>10833.333333333334</v>
      </c>
      <c r="AP30" s="50">
        <f>AP23*(1-'Key Variables'!$C$18)</f>
        <v>10833.333333333334</v>
      </c>
      <c r="AQ30" s="50">
        <f>AQ23*(1-'Key Variables'!$C$18)</f>
        <v>10833.333333333334</v>
      </c>
      <c r="AR30" s="50">
        <f>AR23*(1-'Key Variables'!$C$18)</f>
        <v>10833.333333333334</v>
      </c>
      <c r="AS30" s="50">
        <f>AS23*(1-'Key Variables'!$C$18)</f>
        <v>10833.333333333334</v>
      </c>
      <c r="AT30" s="50">
        <f>AT23*(1-'Key Variables'!$C$18)</f>
        <v>10833.333333333334</v>
      </c>
      <c r="AU30" s="50">
        <f>AU23*(1-'Key Variables'!$C$18)</f>
        <v>10833.333333333334</v>
      </c>
      <c r="AV30" s="50">
        <f>AV23*(1-'Key Variables'!$C$18)</f>
        <v>10833.333333333334</v>
      </c>
      <c r="AW30" s="50">
        <f>AW23*(1-'Key Variables'!$C$18)</f>
        <v>10833.333333333334</v>
      </c>
      <c r="AX30" s="6">
        <f t="shared" si="4"/>
        <v>324999.99999999994</v>
      </c>
      <c r="AY30" s="76">
        <f>1-(AX30/AX23)</f>
        <v>0.35000000000000042</v>
      </c>
    </row>
    <row r="31" spans="1:51" hidden="1" x14ac:dyDescent="0.25">
      <c r="A31" s="13" t="s">
        <v>150</v>
      </c>
      <c r="B31" s="50">
        <f>B24*(1-'Key Variables'!$C$17)</f>
        <v>15.190972222222221</v>
      </c>
      <c r="C31" s="50">
        <f>C24*(1-'Key Variables'!$C$17)</f>
        <v>30.381944444444443</v>
      </c>
      <c r="D31" s="50">
        <f>D24*(1-'Key Variables'!$C$17)</f>
        <v>45.572916666666664</v>
      </c>
      <c r="E31" s="50">
        <f>E24*(1-'Key Variables'!$C$17)</f>
        <v>60.763888888888886</v>
      </c>
      <c r="F31" s="50">
        <f>F24*(1-'Key Variables'!$C$17)</f>
        <v>75.954861111111114</v>
      </c>
      <c r="G31" s="50">
        <f>G24*(1-'Key Variables'!$C$17)</f>
        <v>91.145833333333329</v>
      </c>
      <c r="H31" s="50">
        <f>H24*(1-'Key Variables'!$C$17)</f>
        <v>106.33680555555553</v>
      </c>
      <c r="I31" s="50">
        <f>I24*(1-'Key Variables'!$C$17)</f>
        <v>121.52777777777776</v>
      </c>
      <c r="J31" s="50">
        <f>J24*(1-'Key Variables'!$C$17)</f>
        <v>136.71874999999997</v>
      </c>
      <c r="K31" s="50">
        <f>K24*(1-'Key Variables'!$C$17)</f>
        <v>151.9097222222222</v>
      </c>
      <c r="L31" s="50">
        <f>L24*(1-'Key Variables'!$C$17)</f>
        <v>167.1006944444444</v>
      </c>
      <c r="M31" s="50">
        <f>M24*(1-'Key Variables'!$C$17)</f>
        <v>182.29166666666666</v>
      </c>
      <c r="N31" s="50">
        <f>N24*(1-'Key Variables'!$C$17)</f>
        <v>212.67361111111106</v>
      </c>
      <c r="O31" s="50">
        <f>O24*(1-'Key Variables'!$C$17)</f>
        <v>243.05555555555551</v>
      </c>
      <c r="P31" s="50">
        <f>P24*(1-'Key Variables'!$C$17)</f>
        <v>273.43749999999994</v>
      </c>
      <c r="Q31" s="50">
        <f>Q24*(1-'Key Variables'!$C$17)</f>
        <v>303.8194444444444</v>
      </c>
      <c r="R31" s="50">
        <f>R24*(1-'Key Variables'!$C$17)</f>
        <v>334.2013888888888</v>
      </c>
      <c r="S31" s="50">
        <f>S24*(1-'Key Variables'!$C$17)</f>
        <v>364.58333333333331</v>
      </c>
      <c r="T31" s="50">
        <f>T24*(1-'Key Variables'!$C$17)</f>
        <v>394.96527777777783</v>
      </c>
      <c r="U31" s="50">
        <f>U24*(1-'Key Variables'!$C$17)</f>
        <v>425.34722222222223</v>
      </c>
      <c r="V31" s="50">
        <f>V24*(1-'Key Variables'!$C$17)</f>
        <v>455.72916666666669</v>
      </c>
      <c r="W31" s="50">
        <f>W24*(1-'Key Variables'!$C$17)</f>
        <v>486.11111111111109</v>
      </c>
      <c r="X31" s="50">
        <f>X24*(1-'Key Variables'!$C$17)</f>
        <v>516.49305555555554</v>
      </c>
      <c r="Y31" s="50">
        <f>Y24*(1-'Key Variables'!$C$17)</f>
        <v>546.87500000000023</v>
      </c>
      <c r="Z31" s="50">
        <f>Z24*(1-'Key Variables'!$C$17)</f>
        <v>592.44791666666674</v>
      </c>
      <c r="AA31" s="50">
        <f>AA24*(1-'Key Variables'!$C$17)</f>
        <v>638.02083333333337</v>
      </c>
      <c r="AB31" s="50">
        <f>AB24*(1-'Key Variables'!$C$17)</f>
        <v>683.59375</v>
      </c>
      <c r="AC31" s="50">
        <f>AC24*(1-'Key Variables'!$C$17)</f>
        <v>729.16666666666663</v>
      </c>
      <c r="AD31" s="50">
        <f>AD24*(1-'Key Variables'!$C$17)</f>
        <v>774.73958333333337</v>
      </c>
      <c r="AE31" s="50">
        <f>AE24*(1-'Key Variables'!$C$17)</f>
        <v>820.31250000000011</v>
      </c>
      <c r="AF31" s="50">
        <f>AF24*(1-'Key Variables'!$C$17)</f>
        <v>865.88541666666663</v>
      </c>
      <c r="AG31" s="50">
        <f>AG24*(1-'Key Variables'!$C$17)</f>
        <v>911.45833333333337</v>
      </c>
      <c r="AH31" s="50">
        <f>AH24*(1-'Key Variables'!$C$17)</f>
        <v>957.03125000000011</v>
      </c>
      <c r="AI31" s="50">
        <f>AI24*(1-'Key Variables'!$C$17)</f>
        <v>1002.6041666666669</v>
      </c>
      <c r="AJ31" s="50">
        <f>AJ24*(1-'Key Variables'!$C$17)</f>
        <v>1048.1770833333335</v>
      </c>
      <c r="AK31" s="50">
        <f>AK24*(1-'Key Variables'!$C$17)</f>
        <v>1093.75</v>
      </c>
      <c r="AL31" s="50">
        <f>AL24*(1-'Key Variables'!$C$17)</f>
        <v>1154.5138888888889</v>
      </c>
      <c r="AM31" s="50">
        <f>AM24*(1-'Key Variables'!$C$17)</f>
        <v>1215.2777777777778</v>
      </c>
      <c r="AN31" s="50">
        <f>AN24*(1-'Key Variables'!$C$17)</f>
        <v>1276.0416666666667</v>
      </c>
      <c r="AO31" s="50">
        <f>AO24*(1-'Key Variables'!$C$17)</f>
        <v>1336.8055555555552</v>
      </c>
      <c r="AP31" s="50">
        <f>AP24*(1-'Key Variables'!$C$17)</f>
        <v>1397.5694444444443</v>
      </c>
      <c r="AQ31" s="50">
        <f>AQ24*(1-'Key Variables'!$C$17)</f>
        <v>1458.333333333333</v>
      </c>
      <c r="AR31" s="50">
        <f>AR24*(1-'Key Variables'!$C$17)</f>
        <v>1519.0972222222217</v>
      </c>
      <c r="AS31" s="50">
        <f>AS24*(1-'Key Variables'!$C$17)</f>
        <v>1579.8611111111106</v>
      </c>
      <c r="AT31" s="50">
        <f>AT24*(1-'Key Variables'!$C$17)</f>
        <v>1640.6249999999989</v>
      </c>
      <c r="AU31" s="50">
        <f>AU24*(1-'Key Variables'!$C$17)</f>
        <v>1701.3888888888882</v>
      </c>
      <c r="AV31" s="50">
        <f>AV24*(1-'Key Variables'!$C$17)</f>
        <v>1762.1527777777769</v>
      </c>
      <c r="AW31" s="50">
        <f>AW24*(1-'Key Variables'!$C$17)</f>
        <v>1822.9166666666658</v>
      </c>
      <c r="AX31" s="6">
        <f t="shared" si="4"/>
        <v>33723.958333333328</v>
      </c>
      <c r="AY31" s="76">
        <f>1-(AX31/AX24)</f>
        <v>0.65</v>
      </c>
    </row>
    <row r="32" spans="1:51" hidden="1" x14ac:dyDescent="0.25">
      <c r="A32" s="13" t="s">
        <v>151</v>
      </c>
      <c r="B32" s="50">
        <f>B25*(1-'Key Variables'!$C$19)</f>
        <v>859.37500000000023</v>
      </c>
      <c r="C32" s="50">
        <f>C25*(1-'Key Variables'!$C$19)</f>
        <v>1718.7500000000005</v>
      </c>
      <c r="D32" s="50">
        <f>D25*(1-'Key Variables'!$C$19)</f>
        <v>2578.125</v>
      </c>
      <c r="E32" s="50">
        <f>E25*(1-'Key Variables'!$C$19)</f>
        <v>3437.5000000000009</v>
      </c>
      <c r="F32" s="50">
        <f>F25*(1-'Key Variables'!$C$19)</f>
        <v>4296.8750000000009</v>
      </c>
      <c r="G32" s="50">
        <f>G25*(1-'Key Variables'!$C$19)</f>
        <v>5156.25</v>
      </c>
      <c r="H32" s="50">
        <f>H25*(1-'Key Variables'!$C$19)</f>
        <v>6015.6249999999991</v>
      </c>
      <c r="I32" s="50">
        <f>I25*(1-'Key Variables'!$C$19)</f>
        <v>6875</v>
      </c>
      <c r="J32" s="50">
        <f>J25*(1-'Key Variables'!$C$19)</f>
        <v>7734.375</v>
      </c>
      <c r="K32" s="50">
        <f>K25*(1-'Key Variables'!$C$19)</f>
        <v>8593.75</v>
      </c>
      <c r="L32" s="50">
        <f>L25*(1-'Key Variables'!$C$19)</f>
        <v>9453.125</v>
      </c>
      <c r="M32" s="50">
        <f>M25*(1-'Key Variables'!$C$19)</f>
        <v>10312.5</v>
      </c>
      <c r="N32" s="50">
        <f>N25*(1-'Key Variables'!$C$19)</f>
        <v>12031.249999999998</v>
      </c>
      <c r="O32" s="50">
        <f>O25*(1-'Key Variables'!$C$19)</f>
        <v>13750</v>
      </c>
      <c r="P32" s="50">
        <f>P25*(1-'Key Variables'!$C$19)</f>
        <v>15468.75</v>
      </c>
      <c r="Q32" s="50">
        <f>Q25*(1-'Key Variables'!$C$19)</f>
        <v>17187.5</v>
      </c>
      <c r="R32" s="50">
        <f>R25*(1-'Key Variables'!$C$19)</f>
        <v>18906.25</v>
      </c>
      <c r="S32" s="50">
        <f>S25*(1-'Key Variables'!$C$19)</f>
        <v>20625</v>
      </c>
      <c r="T32" s="50">
        <f>T25*(1-'Key Variables'!$C$19)</f>
        <v>22343.750000000007</v>
      </c>
      <c r="U32" s="50">
        <f>U25*(1-'Key Variables'!$C$19)</f>
        <v>24062.500000000007</v>
      </c>
      <c r="V32" s="50">
        <f>V25*(1-'Key Variables'!$C$19)</f>
        <v>25781.250000000007</v>
      </c>
      <c r="W32" s="50">
        <f>W25*(1-'Key Variables'!$C$19)</f>
        <v>27500.000000000007</v>
      </c>
      <c r="X32" s="50">
        <f>X25*(1-'Key Variables'!$C$19)</f>
        <v>29218.750000000011</v>
      </c>
      <c r="Y32" s="50">
        <f>Y25*(1-'Key Variables'!$C$19)</f>
        <v>30937.500000000015</v>
      </c>
      <c r="Z32" s="50">
        <f>Z25*(1-'Key Variables'!$C$19)</f>
        <v>33515.625000000007</v>
      </c>
      <c r="AA32" s="50">
        <f>AA25*(1-'Key Variables'!$C$19)</f>
        <v>36093.750000000015</v>
      </c>
      <c r="AB32" s="50">
        <f>AB25*(1-'Key Variables'!$C$19)</f>
        <v>38671.875000000015</v>
      </c>
      <c r="AC32" s="50">
        <f>AC25*(1-'Key Variables'!$C$19)</f>
        <v>41250.000000000015</v>
      </c>
      <c r="AD32" s="50">
        <f>AD25*(1-'Key Variables'!$C$19)</f>
        <v>43828.125000000015</v>
      </c>
      <c r="AE32" s="50">
        <f>AE25*(1-'Key Variables'!$C$19)</f>
        <v>46406.250000000015</v>
      </c>
      <c r="AF32" s="50">
        <f>AF25*(1-'Key Variables'!$C$19)</f>
        <v>48984.375000000015</v>
      </c>
      <c r="AG32" s="50">
        <f>AG25*(1-'Key Variables'!$C$19)</f>
        <v>51562.500000000015</v>
      </c>
      <c r="AH32" s="50">
        <f>AH25*(1-'Key Variables'!$C$19)</f>
        <v>54140.625000000015</v>
      </c>
      <c r="AI32" s="50">
        <f>AI25*(1-'Key Variables'!$C$19)</f>
        <v>56718.750000000015</v>
      </c>
      <c r="AJ32" s="50">
        <f>AJ25*(1-'Key Variables'!$C$19)</f>
        <v>59296.875000000015</v>
      </c>
      <c r="AK32" s="50">
        <f>AK25*(1-'Key Variables'!$C$19)</f>
        <v>61875.000000000015</v>
      </c>
      <c r="AL32" s="50">
        <f>AL25*(1-'Key Variables'!$C$19)</f>
        <v>65312.500000000015</v>
      </c>
      <c r="AM32" s="50">
        <f>AM25*(1-'Key Variables'!$C$19)</f>
        <v>68750.000000000015</v>
      </c>
      <c r="AN32" s="50">
        <f>AN25*(1-'Key Variables'!$C$19)</f>
        <v>72187.5</v>
      </c>
      <c r="AO32" s="50">
        <f>AO25*(1-'Key Variables'!$C$19)</f>
        <v>75625</v>
      </c>
      <c r="AP32" s="50">
        <f>AP25*(1-'Key Variables'!$C$19)</f>
        <v>79062.499999999985</v>
      </c>
      <c r="AQ32" s="50">
        <f>AQ25*(1-'Key Variables'!$C$19)</f>
        <v>82499.999999999985</v>
      </c>
      <c r="AR32" s="50">
        <f>AR25*(1-'Key Variables'!$C$19)</f>
        <v>85937.499999999985</v>
      </c>
      <c r="AS32" s="50">
        <f>AS25*(1-'Key Variables'!$C$19)</f>
        <v>89374.999999999971</v>
      </c>
      <c r="AT32" s="50">
        <f>AT25*(1-'Key Variables'!$C$19)</f>
        <v>92812.499999999956</v>
      </c>
      <c r="AU32" s="50">
        <f>AU25*(1-'Key Variables'!$C$19)</f>
        <v>96249.999999999971</v>
      </c>
      <c r="AV32" s="50">
        <f>AV25*(1-'Key Variables'!$C$19)</f>
        <v>99687.499999999971</v>
      </c>
      <c r="AW32" s="50">
        <f>AW25*(1-'Key Variables'!$C$19)</f>
        <v>103124.99999999996</v>
      </c>
      <c r="AX32" s="6">
        <f t="shared" si="4"/>
        <v>1907812.5</v>
      </c>
      <c r="AY32" s="77">
        <f>1-(AX32/AX25)</f>
        <v>0.44999999999999996</v>
      </c>
    </row>
    <row r="33" spans="1:51" hidden="1" x14ac:dyDescent="0.25">
      <c r="A33" s="13" t="s">
        <v>164</v>
      </c>
      <c r="B33" s="50">
        <f>B26*(1-'Key Variables'!$C$18)</f>
        <v>0</v>
      </c>
      <c r="C33" s="50">
        <f>C26*(1-'Key Variables'!$C$18)</f>
        <v>0</v>
      </c>
      <c r="D33" s="50">
        <f>D26*(1-'Key Variables'!$C$18)</f>
        <v>0</v>
      </c>
      <c r="E33" s="50">
        <f>E26*(1-'Key Variables'!$C$18)</f>
        <v>0</v>
      </c>
      <c r="F33" s="50">
        <f>F26*(1-'Key Variables'!$C$18)</f>
        <v>0</v>
      </c>
      <c r="G33" s="50">
        <f>G26*(1-'Key Variables'!$C$18)</f>
        <v>0</v>
      </c>
      <c r="H33" s="50">
        <f>H26*(1-'Key Variables'!$C$18)</f>
        <v>33.854166666666671</v>
      </c>
      <c r="I33" s="50">
        <f>I26*(1-'Key Variables'!$C$18)</f>
        <v>67.708333333333343</v>
      </c>
      <c r="J33" s="50">
        <f>J26*(1-'Key Variables'!$C$18)</f>
        <v>101.5625</v>
      </c>
      <c r="K33" s="50">
        <f>K26*(1-'Key Variables'!$C$18)</f>
        <v>135.41666666666669</v>
      </c>
      <c r="L33" s="50">
        <f>L26*(1-'Key Variables'!$C$18)</f>
        <v>169.27083333333334</v>
      </c>
      <c r="M33" s="50">
        <f>M26*(1-'Key Variables'!$C$18)</f>
        <v>203.125</v>
      </c>
      <c r="N33" s="50">
        <f>N26*(1-'Key Variables'!$C$18)</f>
        <v>236.97916666666663</v>
      </c>
      <c r="O33" s="50">
        <f>O26*(1-'Key Variables'!$C$18)</f>
        <v>270.83333333333337</v>
      </c>
      <c r="P33" s="50">
        <f>P26*(1-'Key Variables'!$C$18)</f>
        <v>304.6875</v>
      </c>
      <c r="Q33" s="50">
        <f>Q26*(1-'Key Variables'!$C$18)</f>
        <v>338.54166666666663</v>
      </c>
      <c r="R33" s="50">
        <f>R26*(1-'Key Variables'!$C$18)</f>
        <v>372.39583333333331</v>
      </c>
      <c r="S33" s="50">
        <f>S26*(1-'Key Variables'!$C$18)</f>
        <v>406.25</v>
      </c>
      <c r="T33" s="50">
        <f>T26*(1-'Key Variables'!$C$18)</f>
        <v>473.95833333333326</v>
      </c>
      <c r="U33" s="50">
        <f>U26*(1-'Key Variables'!$C$18)</f>
        <v>541.66666666666674</v>
      </c>
      <c r="V33" s="50">
        <f>V26*(1-'Key Variables'!$C$18)</f>
        <v>609.375</v>
      </c>
      <c r="W33" s="50">
        <f>W26*(1-'Key Variables'!$C$18)</f>
        <v>677.08333333333326</v>
      </c>
      <c r="X33" s="50">
        <f>X26*(1-'Key Variables'!$C$18)</f>
        <v>744.79166666666663</v>
      </c>
      <c r="Y33" s="50">
        <f>Y26*(1-'Key Variables'!$C$18)</f>
        <v>812.5</v>
      </c>
      <c r="Z33" s="50">
        <f>Z26*(1-'Key Variables'!$C$18)</f>
        <v>880.2083333333336</v>
      </c>
      <c r="AA33" s="50">
        <f>AA26*(1-'Key Variables'!$C$18)</f>
        <v>947.91666666666663</v>
      </c>
      <c r="AB33" s="50">
        <f>AB26*(1-'Key Variables'!$C$18)</f>
        <v>1015.6250000000002</v>
      </c>
      <c r="AC33" s="50">
        <f>AC26*(1-'Key Variables'!$C$18)</f>
        <v>1083.3333333333335</v>
      </c>
      <c r="AD33" s="50">
        <f>AD26*(1-'Key Variables'!$C$18)</f>
        <v>1151.041666666667</v>
      </c>
      <c r="AE33" s="50">
        <f>AE26*(1-'Key Variables'!$C$18)</f>
        <v>1218.7500000000005</v>
      </c>
      <c r="AF33" s="50">
        <f>AF26*(1-'Key Variables'!$C$18)</f>
        <v>1320.3125000000002</v>
      </c>
      <c r="AG33" s="50">
        <f>AG26*(1-'Key Variables'!$C$18)</f>
        <v>1421.8750000000005</v>
      </c>
      <c r="AH33" s="50">
        <f>AH26*(1-'Key Variables'!$C$18)</f>
        <v>1523.4375000000005</v>
      </c>
      <c r="AI33" s="50">
        <f>AI26*(1-'Key Variables'!$C$18)</f>
        <v>1625.0000000000005</v>
      </c>
      <c r="AJ33" s="50">
        <f>AJ26*(1-'Key Variables'!$C$18)</f>
        <v>1726.5625000000005</v>
      </c>
      <c r="AK33" s="50">
        <f>AK26*(1-'Key Variables'!$C$18)</f>
        <v>1828.1250000000005</v>
      </c>
      <c r="AL33" s="50">
        <f>AL26*(1-'Key Variables'!$C$18)</f>
        <v>1929.6875000000005</v>
      </c>
      <c r="AM33" s="50">
        <f>AM26*(1-'Key Variables'!$C$18)</f>
        <v>2031.2500000000005</v>
      </c>
      <c r="AN33" s="50">
        <f>AN26*(1-'Key Variables'!$C$18)</f>
        <v>2132.8125000000005</v>
      </c>
      <c r="AO33" s="50">
        <f>AO26*(1-'Key Variables'!$C$18)</f>
        <v>2234.3750000000005</v>
      </c>
      <c r="AP33" s="50">
        <f>AP26*(1-'Key Variables'!$C$18)</f>
        <v>2335.9375000000005</v>
      </c>
      <c r="AQ33" s="50">
        <f>AQ26*(1-'Key Variables'!$C$18)</f>
        <v>2437.5000000000005</v>
      </c>
      <c r="AR33" s="50">
        <f>AR26*(1-'Key Variables'!$C$18)</f>
        <v>2572.916666666667</v>
      </c>
      <c r="AS33" s="50">
        <f>AS26*(1-'Key Variables'!$C$18)</f>
        <v>2708.3333333333335</v>
      </c>
      <c r="AT33" s="50">
        <f>AT26*(1-'Key Variables'!$C$18)</f>
        <v>2843.75</v>
      </c>
      <c r="AU33" s="50">
        <f>AU26*(1-'Key Variables'!$C$18)</f>
        <v>2979.1666666666665</v>
      </c>
      <c r="AV33" s="50">
        <f>AV26*(1-'Key Variables'!$C$18)</f>
        <v>3114.583333333333</v>
      </c>
      <c r="AW33" s="50">
        <f>AW26*(1-'Key Variables'!$C$18)</f>
        <v>3249.9999999999995</v>
      </c>
      <c r="AX33" s="6">
        <f t="shared" si="4"/>
        <v>52812.5</v>
      </c>
      <c r="AY33" s="77">
        <f>1-(AX33/AX26)</f>
        <v>-421.5</v>
      </c>
    </row>
    <row r="34" spans="1:51" hidden="1" x14ac:dyDescent="0.25">
      <c r="A34" s="13" t="s">
        <v>153</v>
      </c>
      <c r="B34" s="50">
        <f>B27*(1-'Key Variables'!$C$16)</f>
        <v>138.88888888888889</v>
      </c>
      <c r="C34" s="50">
        <f>C27*(1-'Key Variables'!$C$16)</f>
        <v>277.77777777777777</v>
      </c>
      <c r="D34" s="50">
        <f>D27*(1-'Key Variables'!$C$16)</f>
        <v>416.66666666666674</v>
      </c>
      <c r="E34" s="50">
        <f>E27*(1-'Key Variables'!$C$16)</f>
        <v>555.55555555555554</v>
      </c>
      <c r="F34" s="50">
        <f>F27*(1-'Key Variables'!$C$16)</f>
        <v>694.44444444444457</v>
      </c>
      <c r="G34" s="50">
        <f>G27*(1-'Key Variables'!$C$16)</f>
        <v>833.33333333333348</v>
      </c>
      <c r="H34" s="50">
        <f>H27*(1-'Key Variables'!$C$16)</f>
        <v>972.22222222222217</v>
      </c>
      <c r="I34" s="50">
        <f>I27*(1-'Key Variables'!$C$16)</f>
        <v>1111.1111111111111</v>
      </c>
      <c r="J34" s="50">
        <f>J27*(1-'Key Variables'!$C$16)</f>
        <v>1250</v>
      </c>
      <c r="K34" s="50">
        <f>K27*(1-'Key Variables'!$C$16)</f>
        <v>1388.8888888888889</v>
      </c>
      <c r="L34" s="50">
        <f>L27*(1-'Key Variables'!$C$16)</f>
        <v>1527.7777777777776</v>
      </c>
      <c r="M34" s="50">
        <f>M27*(1-'Key Variables'!$C$16)</f>
        <v>1666.666666666667</v>
      </c>
      <c r="N34" s="50">
        <f>N27*(1-'Key Variables'!$C$16)</f>
        <v>1944.4444444444443</v>
      </c>
      <c r="O34" s="50">
        <f>O27*(1-'Key Variables'!$C$16)</f>
        <v>2222.2222222222222</v>
      </c>
      <c r="P34" s="50">
        <f>P27*(1-'Key Variables'!$C$16)</f>
        <v>2500</v>
      </c>
      <c r="Q34" s="50">
        <f>Q27*(1-'Key Variables'!$C$16)</f>
        <v>2777.7777777777778</v>
      </c>
      <c r="R34" s="50">
        <f>R27*(1-'Key Variables'!$C$16)</f>
        <v>3055.5555555555552</v>
      </c>
      <c r="S34" s="50">
        <f>S27*(1-'Key Variables'!$C$16)</f>
        <v>3333.3333333333339</v>
      </c>
      <c r="T34" s="50">
        <f>T27*(1-'Key Variables'!$C$16)</f>
        <v>3611.1111111111118</v>
      </c>
      <c r="U34" s="50">
        <f>U27*(1-'Key Variables'!$C$16)</f>
        <v>3888.8888888888891</v>
      </c>
      <c r="V34" s="50">
        <f>V27*(1-'Key Variables'!$C$16)</f>
        <v>4166.666666666667</v>
      </c>
      <c r="W34" s="50">
        <f>W27*(1-'Key Variables'!$C$16)</f>
        <v>4444.4444444444443</v>
      </c>
      <c r="X34" s="50">
        <f>X27*(1-'Key Variables'!$C$16)</f>
        <v>4722.2222222222226</v>
      </c>
      <c r="Y34" s="50">
        <f>Y27*(1-'Key Variables'!$C$16)</f>
        <v>5000.0000000000027</v>
      </c>
      <c r="Z34" s="50">
        <f>Z27*(1-'Key Variables'!$C$16)</f>
        <v>5416.6666666666679</v>
      </c>
      <c r="AA34" s="50">
        <f>AA27*(1-'Key Variables'!$C$16)</f>
        <v>5833.3333333333348</v>
      </c>
      <c r="AB34" s="50">
        <f>AB27*(1-'Key Variables'!$C$16)</f>
        <v>6250.0000000000009</v>
      </c>
      <c r="AC34" s="50">
        <f>AC27*(1-'Key Variables'!$C$16)</f>
        <v>6666.6666666666679</v>
      </c>
      <c r="AD34" s="50">
        <f>AD27*(1-'Key Variables'!$C$16)</f>
        <v>7083.3333333333348</v>
      </c>
      <c r="AE34" s="50">
        <f>AE27*(1-'Key Variables'!$C$16)</f>
        <v>7500.0000000000018</v>
      </c>
      <c r="AF34" s="50">
        <f>AF27*(1-'Key Variables'!$C$16)</f>
        <v>7916.6666666666679</v>
      </c>
      <c r="AG34" s="50">
        <f>AG27*(1-'Key Variables'!$C$16)</f>
        <v>8333.3333333333339</v>
      </c>
      <c r="AH34" s="50">
        <f>AH27*(1-'Key Variables'!$C$16)</f>
        <v>8750.0000000000018</v>
      </c>
      <c r="AI34" s="50">
        <f>AI27*(1-'Key Variables'!$C$16)</f>
        <v>9166.6666666666697</v>
      </c>
      <c r="AJ34" s="50">
        <f>AJ27*(1-'Key Variables'!$C$16)</f>
        <v>9583.3333333333358</v>
      </c>
      <c r="AK34" s="50">
        <f>AK27*(1-'Key Variables'!$C$16)</f>
        <v>10000.000000000002</v>
      </c>
      <c r="AL34" s="50">
        <f>AL27*(1-'Key Variables'!$C$16)</f>
        <v>10555.555555555557</v>
      </c>
      <c r="AM34" s="50">
        <f>AM27*(1-'Key Variables'!$C$16)</f>
        <v>11111.111111111113</v>
      </c>
      <c r="AN34" s="50">
        <f>AN27*(1-'Key Variables'!$C$16)</f>
        <v>11666.666666666668</v>
      </c>
      <c r="AO34" s="50">
        <f>AO27*(1-'Key Variables'!$C$16)</f>
        <v>12222.222222222221</v>
      </c>
      <c r="AP34" s="50">
        <f>AP27*(1-'Key Variables'!$C$16)</f>
        <v>12777.777777777777</v>
      </c>
      <c r="AQ34" s="50">
        <f>AQ27*(1-'Key Variables'!$C$16)</f>
        <v>13333.333333333332</v>
      </c>
      <c r="AR34" s="50">
        <f>AR27*(1-'Key Variables'!$C$16)</f>
        <v>13888.888888888885</v>
      </c>
      <c r="AS34" s="50">
        <f>AS27*(1-'Key Variables'!$C$16)</f>
        <v>14444.444444444442</v>
      </c>
      <c r="AT34" s="50">
        <f>AT27*(1-'Key Variables'!$C$16)</f>
        <v>14999.999999999993</v>
      </c>
      <c r="AU34" s="50">
        <f>AU27*(1-'Key Variables'!$C$16)</f>
        <v>15555.555555555551</v>
      </c>
      <c r="AV34" s="50">
        <f>AV27*(1-'Key Variables'!$C$16)</f>
        <v>16111.111111111104</v>
      </c>
      <c r="AW34" s="50">
        <f>AW27*(1-'Key Variables'!$C$16)</f>
        <v>16666.666666666661</v>
      </c>
      <c r="AX34" s="6">
        <f t="shared" si="4"/>
        <v>308333.33333333337</v>
      </c>
      <c r="AY34" s="77">
        <f>1-(AX34/AX27)</f>
        <v>0.19999999999999984</v>
      </c>
    </row>
    <row r="35" spans="1:51" hidden="1" x14ac:dyDescent="0.25">
      <c r="A35" s="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51" s="24" customFormat="1" hidden="1" x14ac:dyDescent="0.25">
      <c r="A36" s="24" t="s">
        <v>85</v>
      </c>
      <c r="B36" s="25">
        <f>'O365 Calculations'!B5*'"Fine Tune" Variables'!$C$19</f>
        <v>0</v>
      </c>
      <c r="C36" s="25">
        <f>'O365 Calculations'!C5*'"Fine Tune" Variables'!$C$19</f>
        <v>0</v>
      </c>
      <c r="D36" s="25">
        <f>'O365 Calculations'!D5*'"Fine Tune" Variables'!$C$19</f>
        <v>0</v>
      </c>
      <c r="E36" s="25">
        <f>'O365 Calculations'!E5*'"Fine Tune" Variables'!$C$19</f>
        <v>0</v>
      </c>
      <c r="F36" s="25">
        <f>'O365 Calculations'!F5*'"Fine Tune" Variables'!$C$19</f>
        <v>0</v>
      </c>
      <c r="G36" s="25">
        <f>'O365 Calculations'!G5*'"Fine Tune" Variables'!$C$19</f>
        <v>0</v>
      </c>
      <c r="H36" s="25">
        <f>'O365 Calculations'!H5*'"Fine Tune" Variables'!$C$19</f>
        <v>0</v>
      </c>
      <c r="I36" s="25">
        <f>'O365 Calculations'!I5*'"Fine Tune" Variables'!$C$19</f>
        <v>0</v>
      </c>
      <c r="J36" s="25">
        <f>'O365 Calculations'!J5*'"Fine Tune" Variables'!$C$19</f>
        <v>0</v>
      </c>
      <c r="K36" s="25">
        <f>'O365 Calculations'!K5*'"Fine Tune" Variables'!$C$19</f>
        <v>0</v>
      </c>
      <c r="L36" s="25">
        <f>'O365 Calculations'!L5*'"Fine Tune" Variables'!$C$19</f>
        <v>0</v>
      </c>
      <c r="M36" s="25">
        <f>'O365 Calculations'!M5*'"Fine Tune" Variables'!$C$19</f>
        <v>0</v>
      </c>
      <c r="N36" s="25">
        <f>'O365 Calculations'!N5*'"Fine Tune" Variables'!$C$19</f>
        <v>0</v>
      </c>
      <c r="O36" s="25">
        <f>'O365 Calculations'!O5*'"Fine Tune" Variables'!$C$19</f>
        <v>0</v>
      </c>
      <c r="P36" s="25">
        <f>'O365 Calculations'!P5*'"Fine Tune" Variables'!$C$19</f>
        <v>0</v>
      </c>
      <c r="Q36" s="25">
        <f>'O365 Calculations'!Q5*'"Fine Tune" Variables'!$C$19</f>
        <v>0</v>
      </c>
      <c r="R36" s="25">
        <f>'O365 Calculations'!R5*'"Fine Tune" Variables'!$C$19</f>
        <v>0</v>
      </c>
      <c r="S36" s="25">
        <f>'O365 Calculations'!S5*'"Fine Tune" Variables'!$C$19</f>
        <v>0</v>
      </c>
      <c r="T36" s="25">
        <f>'O365 Calculations'!T5*'"Fine Tune" Variables'!$C$19</f>
        <v>0</v>
      </c>
      <c r="U36" s="25">
        <f>'O365 Calculations'!U5*'"Fine Tune" Variables'!$C$19</f>
        <v>0</v>
      </c>
      <c r="V36" s="25">
        <f>'O365 Calculations'!V5*'"Fine Tune" Variables'!$C$19</f>
        <v>0</v>
      </c>
      <c r="W36" s="25">
        <f>'O365 Calculations'!W5*'"Fine Tune" Variables'!$C$19</f>
        <v>0</v>
      </c>
      <c r="X36" s="25">
        <f>'O365 Calculations'!X5*'"Fine Tune" Variables'!$C$19</f>
        <v>0</v>
      </c>
      <c r="Y36" s="25">
        <f>'O365 Calculations'!Y5*'"Fine Tune" Variables'!$C$19</f>
        <v>0</v>
      </c>
      <c r="Z36" s="25">
        <f>'O365 Calculations'!Z5*'"Fine Tune" Variables'!$C$19</f>
        <v>0</v>
      </c>
      <c r="AA36" s="25">
        <f>'O365 Calculations'!AA5*'"Fine Tune" Variables'!$C$19</f>
        <v>0</v>
      </c>
      <c r="AB36" s="25">
        <f>'O365 Calculations'!AB5*'"Fine Tune" Variables'!$C$19</f>
        <v>0</v>
      </c>
      <c r="AC36" s="25">
        <f>'O365 Calculations'!AC5*'"Fine Tune" Variables'!$C$19</f>
        <v>0</v>
      </c>
      <c r="AD36" s="25">
        <f>'O365 Calculations'!AD5*'"Fine Tune" Variables'!$C$19</f>
        <v>0</v>
      </c>
      <c r="AE36" s="25">
        <f>'O365 Calculations'!AE5*'"Fine Tune" Variables'!$C$19</f>
        <v>0</v>
      </c>
      <c r="AF36" s="25">
        <f>'O365 Calculations'!AF5*'"Fine Tune" Variables'!$C$19</f>
        <v>0</v>
      </c>
      <c r="AG36" s="25">
        <f>'O365 Calculations'!AG5*'"Fine Tune" Variables'!$C$19</f>
        <v>0</v>
      </c>
      <c r="AH36" s="25">
        <f>'O365 Calculations'!AH5*'"Fine Tune" Variables'!$C$19</f>
        <v>0</v>
      </c>
      <c r="AI36" s="25">
        <f>'O365 Calculations'!AI5*'"Fine Tune" Variables'!$C$19</f>
        <v>0</v>
      </c>
      <c r="AJ36" s="25">
        <f>'O365 Calculations'!AJ5*'"Fine Tune" Variables'!$C$19</f>
        <v>0</v>
      </c>
      <c r="AK36" s="25">
        <f>'O365 Calculations'!AK5*'"Fine Tune" Variables'!$C$19</f>
        <v>0</v>
      </c>
      <c r="AL36" s="25">
        <f>'O365 Calculations'!AL5*'"Fine Tune" Variables'!$C$19</f>
        <v>0</v>
      </c>
      <c r="AM36" s="25">
        <f>'O365 Calculations'!AM5*'"Fine Tune" Variables'!$C$19</f>
        <v>0</v>
      </c>
      <c r="AN36" s="25">
        <f>'O365 Calculations'!AN5*'"Fine Tune" Variables'!$C$19</f>
        <v>0</v>
      </c>
      <c r="AO36" s="25">
        <f>'O365 Calculations'!AO5*'"Fine Tune" Variables'!$C$19</f>
        <v>0</v>
      </c>
      <c r="AP36" s="25">
        <f>'O365 Calculations'!AP5*'"Fine Tune" Variables'!$C$19</f>
        <v>0</v>
      </c>
      <c r="AQ36" s="25">
        <f>'O365 Calculations'!AQ5*'"Fine Tune" Variables'!$C$19</f>
        <v>0</v>
      </c>
      <c r="AR36" s="25">
        <f>'O365 Calculations'!AR5*'"Fine Tune" Variables'!$C$19</f>
        <v>0</v>
      </c>
      <c r="AS36" s="25">
        <f>'O365 Calculations'!AS5*'"Fine Tune" Variables'!$C$19</f>
        <v>0</v>
      </c>
      <c r="AT36" s="25">
        <f>'O365 Calculations'!AT5*'"Fine Tune" Variables'!$C$19</f>
        <v>0</v>
      </c>
      <c r="AU36" s="25">
        <f>'O365 Calculations'!AU5*'"Fine Tune" Variables'!$C$19</f>
        <v>0</v>
      </c>
      <c r="AV36" s="25">
        <f>'O365 Calculations'!AV5*'"Fine Tune" Variables'!$C$19</f>
        <v>0</v>
      </c>
      <c r="AW36" s="25">
        <f>'O365 Calculations'!AW5*'"Fine Tune" Variables'!$C$19</f>
        <v>0</v>
      </c>
      <c r="AY36" s="25"/>
    </row>
    <row r="37" spans="1:51" s="24" customFormat="1" hidden="1" x14ac:dyDescent="0.25">
      <c r="A37" s="24" t="s">
        <v>28</v>
      </c>
      <c r="B37" s="25">
        <f>'O365 Calculations'!B5*'"Fine Tune" Variables'!$C$20</f>
        <v>0</v>
      </c>
      <c r="C37" s="25">
        <f>'O365 Calculations'!C5*'"Fine Tune" Variables'!$C$20</f>
        <v>0</v>
      </c>
      <c r="D37" s="25">
        <f>'O365 Calculations'!D5*'"Fine Tune" Variables'!$C$20</f>
        <v>0</v>
      </c>
      <c r="E37" s="25">
        <f>'O365 Calculations'!E5*'"Fine Tune" Variables'!$C$20</f>
        <v>0</v>
      </c>
      <c r="F37" s="25">
        <f>'O365 Calculations'!F5*'"Fine Tune" Variables'!$C$20</f>
        <v>0</v>
      </c>
      <c r="G37" s="25">
        <f>'O365 Calculations'!G5*'"Fine Tune" Variables'!$C$20</f>
        <v>0</v>
      </c>
      <c r="H37" s="25">
        <f>'O365 Calculations'!H5*'"Fine Tune" Variables'!$C$20</f>
        <v>0</v>
      </c>
      <c r="I37" s="25">
        <f>'O365 Calculations'!I5*'"Fine Tune" Variables'!$C$20</f>
        <v>0</v>
      </c>
      <c r="J37" s="25">
        <f>'O365 Calculations'!J5*'"Fine Tune" Variables'!$C$20</f>
        <v>0</v>
      </c>
      <c r="K37" s="25">
        <f>'O365 Calculations'!K5*'"Fine Tune" Variables'!$C$20</f>
        <v>0</v>
      </c>
      <c r="L37" s="25">
        <f>'O365 Calculations'!L5*'"Fine Tune" Variables'!$C$20</f>
        <v>0</v>
      </c>
      <c r="M37" s="25">
        <f>'O365 Calculations'!M5*'"Fine Tune" Variables'!$C$20</f>
        <v>0</v>
      </c>
      <c r="N37" s="25">
        <f>'O365 Calculations'!N5*'"Fine Tune" Variables'!$C$20</f>
        <v>0</v>
      </c>
      <c r="O37" s="25">
        <f>'O365 Calculations'!O5*'"Fine Tune" Variables'!$C$20</f>
        <v>0</v>
      </c>
      <c r="P37" s="25">
        <f>'O365 Calculations'!P5*'"Fine Tune" Variables'!$C$20</f>
        <v>0</v>
      </c>
      <c r="Q37" s="25">
        <f>'O365 Calculations'!Q5*'"Fine Tune" Variables'!$C$20</f>
        <v>0</v>
      </c>
      <c r="R37" s="25">
        <f>'O365 Calculations'!R5*'"Fine Tune" Variables'!$C$20</f>
        <v>0</v>
      </c>
      <c r="S37" s="25">
        <f>'O365 Calculations'!S5*'"Fine Tune" Variables'!$C$20</f>
        <v>0</v>
      </c>
      <c r="T37" s="25">
        <f>'O365 Calculations'!T5*'"Fine Tune" Variables'!$C$20</f>
        <v>0</v>
      </c>
      <c r="U37" s="25">
        <f>'O365 Calculations'!U5*'"Fine Tune" Variables'!$C$20</f>
        <v>0</v>
      </c>
      <c r="V37" s="25">
        <f>'O365 Calculations'!V5*'"Fine Tune" Variables'!$C$20</f>
        <v>0</v>
      </c>
      <c r="W37" s="25">
        <f>'O365 Calculations'!W5*'"Fine Tune" Variables'!$C$20</f>
        <v>0</v>
      </c>
      <c r="X37" s="25">
        <f>'O365 Calculations'!X5*'"Fine Tune" Variables'!$C$20</f>
        <v>0</v>
      </c>
      <c r="Y37" s="25">
        <f>'O365 Calculations'!Y5*'"Fine Tune" Variables'!$C$20</f>
        <v>0</v>
      </c>
      <c r="Z37" s="25">
        <f>'O365 Calculations'!Z5*'"Fine Tune" Variables'!$C$20</f>
        <v>0</v>
      </c>
      <c r="AA37" s="25">
        <f>'O365 Calculations'!AA5*'"Fine Tune" Variables'!$C$20</f>
        <v>0</v>
      </c>
      <c r="AB37" s="25">
        <f>'O365 Calculations'!AB5*'"Fine Tune" Variables'!$C$20</f>
        <v>0</v>
      </c>
      <c r="AC37" s="25">
        <f>'O365 Calculations'!AC5*'"Fine Tune" Variables'!$C$20</f>
        <v>0</v>
      </c>
      <c r="AD37" s="25">
        <f>'O365 Calculations'!AD5*'"Fine Tune" Variables'!$C$20</f>
        <v>0</v>
      </c>
      <c r="AE37" s="25">
        <f>'O365 Calculations'!AE5*'"Fine Tune" Variables'!$C$20</f>
        <v>0</v>
      </c>
      <c r="AF37" s="25">
        <f>'O365 Calculations'!AF5*'"Fine Tune" Variables'!$C$20</f>
        <v>0</v>
      </c>
      <c r="AG37" s="25">
        <f>'O365 Calculations'!AG5*'"Fine Tune" Variables'!$C$20</f>
        <v>0</v>
      </c>
      <c r="AH37" s="25">
        <f>'O365 Calculations'!AH5*'"Fine Tune" Variables'!$C$20</f>
        <v>0</v>
      </c>
      <c r="AI37" s="25">
        <f>'O365 Calculations'!AI5*'"Fine Tune" Variables'!$C$20</f>
        <v>0</v>
      </c>
      <c r="AJ37" s="25">
        <f>'O365 Calculations'!AJ5*'"Fine Tune" Variables'!$C$20</f>
        <v>0</v>
      </c>
      <c r="AK37" s="25">
        <f>'O365 Calculations'!AK5*'"Fine Tune" Variables'!$C$20</f>
        <v>0</v>
      </c>
      <c r="AL37" s="25">
        <f>'O365 Calculations'!AL5*'"Fine Tune" Variables'!$C$20</f>
        <v>0</v>
      </c>
      <c r="AM37" s="25">
        <f>'O365 Calculations'!AM5*'"Fine Tune" Variables'!$C$20</f>
        <v>0</v>
      </c>
      <c r="AN37" s="25">
        <f>'O365 Calculations'!AN5*'"Fine Tune" Variables'!$C$20</f>
        <v>0</v>
      </c>
      <c r="AO37" s="25">
        <f>'O365 Calculations'!AO5*'"Fine Tune" Variables'!$C$20</f>
        <v>0</v>
      </c>
      <c r="AP37" s="25">
        <f>'O365 Calculations'!AP5*'"Fine Tune" Variables'!$C$20</f>
        <v>0</v>
      </c>
      <c r="AQ37" s="25">
        <f>'O365 Calculations'!AQ5*'"Fine Tune" Variables'!$C$20</f>
        <v>0</v>
      </c>
      <c r="AR37" s="25">
        <f>'O365 Calculations'!AR5*'"Fine Tune" Variables'!$C$20</f>
        <v>0</v>
      </c>
      <c r="AS37" s="25">
        <f>'O365 Calculations'!AS5*'"Fine Tune" Variables'!$C$20</f>
        <v>0</v>
      </c>
      <c r="AT37" s="25">
        <f>'O365 Calculations'!AT5*'"Fine Tune" Variables'!$C$20</f>
        <v>0</v>
      </c>
      <c r="AU37" s="25">
        <f>'O365 Calculations'!AU5*'"Fine Tune" Variables'!$C$20</f>
        <v>0</v>
      </c>
      <c r="AV37" s="25">
        <f>'O365 Calculations'!AV5*'"Fine Tune" Variables'!$C$20</f>
        <v>0</v>
      </c>
      <c r="AW37" s="25">
        <f>'O365 Calculations'!AW5*'"Fine Tune" Variables'!$C$20</f>
        <v>0</v>
      </c>
    </row>
    <row r="38" spans="1:51" hidden="1" x14ac:dyDescent="0.25">
      <c r="N38" s="8"/>
    </row>
    <row r="39" spans="1:51" s="24" customFormat="1" hidden="1" x14ac:dyDescent="0.25">
      <c r="A39" s="24" t="s">
        <v>31</v>
      </c>
      <c r="B39" s="25">
        <f>(B4*'"Fine Tune" Variables'!$C$5)+('O365 Calculations'!B5*'"Fine Tune" Variables'!$C$6)</f>
        <v>0</v>
      </c>
      <c r="C39" s="25">
        <f>(C4*'"Fine Tune" Variables'!$C$5)+('O365 Calculations'!C5*'"Fine Tune" Variables'!$C$6)</f>
        <v>0</v>
      </c>
      <c r="D39" s="25">
        <f>(D4*'"Fine Tune" Variables'!$C$5)+('O365 Calculations'!D5*'"Fine Tune" Variables'!$C$6)</f>
        <v>0</v>
      </c>
      <c r="E39" s="25">
        <f>(E4*'"Fine Tune" Variables'!$C$5)+('O365 Calculations'!E5*'"Fine Tune" Variables'!$C$6)</f>
        <v>0</v>
      </c>
      <c r="F39" s="25">
        <f>(F4*'"Fine Tune" Variables'!$C$5)+('O365 Calculations'!F5*'"Fine Tune" Variables'!$C$6)</f>
        <v>0</v>
      </c>
      <c r="G39" s="25">
        <f>(G4*'"Fine Tune" Variables'!$C$5)+('O365 Calculations'!G5*'"Fine Tune" Variables'!$C$6)</f>
        <v>0</v>
      </c>
      <c r="H39" s="25">
        <f>(H4*'"Fine Tune" Variables'!$C$5)+('O365 Calculations'!H5*'"Fine Tune" Variables'!$C$6)</f>
        <v>0</v>
      </c>
      <c r="I39" s="25">
        <f>(I4*'"Fine Tune" Variables'!$C$5)+('O365 Calculations'!I5*'"Fine Tune" Variables'!$C$6)</f>
        <v>0</v>
      </c>
      <c r="J39" s="25">
        <f>(J4*'"Fine Tune" Variables'!$C$5)+('O365 Calculations'!J5*'"Fine Tune" Variables'!$C$6)</f>
        <v>0</v>
      </c>
      <c r="K39" s="25">
        <f>(K4*'"Fine Tune" Variables'!$C$5)+('O365 Calculations'!K5*'"Fine Tune" Variables'!$C$6)</f>
        <v>0</v>
      </c>
      <c r="L39" s="25">
        <f>(L4*'"Fine Tune" Variables'!$C$5)+('O365 Calculations'!L5*'"Fine Tune" Variables'!$C$6)</f>
        <v>0</v>
      </c>
      <c r="M39" s="25">
        <f>(M4*'"Fine Tune" Variables'!$C$5)+('O365 Calculations'!M5*'"Fine Tune" Variables'!$C$6)</f>
        <v>0</v>
      </c>
      <c r="N39" s="25">
        <f>(N4*'"Fine Tune" Variables'!$C$5)+('O365 Calculations'!N5*'"Fine Tune" Variables'!$C$6)+(B15*'"Fine Tune" Variables'!$C$7/12)</f>
        <v>0</v>
      </c>
      <c r="O39" s="25">
        <f>(O4*'"Fine Tune" Variables'!$C$5)+('O365 Calculations'!O5*'"Fine Tune" Variables'!$C$6)+(C15*'"Fine Tune" Variables'!$C$7/12)</f>
        <v>0</v>
      </c>
      <c r="P39" s="25">
        <f>(P4*'"Fine Tune" Variables'!$C$5)+('O365 Calculations'!P5*'"Fine Tune" Variables'!$C$6)+(D15*'"Fine Tune" Variables'!$C$7/12)</f>
        <v>0</v>
      </c>
      <c r="Q39" s="25">
        <f>(Q4*'"Fine Tune" Variables'!$C$5)+('O365 Calculations'!Q5*'"Fine Tune" Variables'!$C$6)+(E15*'"Fine Tune" Variables'!$C$7/12)</f>
        <v>0</v>
      </c>
      <c r="R39" s="25">
        <f>(R4*'"Fine Tune" Variables'!$C$5)+('O365 Calculations'!R5*'"Fine Tune" Variables'!$C$6)+(F15*'"Fine Tune" Variables'!$C$7/12)</f>
        <v>0</v>
      </c>
      <c r="S39" s="25">
        <f>(S4*'"Fine Tune" Variables'!$C$5)+('O365 Calculations'!S5*'"Fine Tune" Variables'!$C$6)+(G15*'"Fine Tune" Variables'!$C$7/12)</f>
        <v>0</v>
      </c>
      <c r="T39" s="25">
        <f>(T4*'"Fine Tune" Variables'!$C$5)+('O365 Calculations'!T5*'"Fine Tune" Variables'!$C$6)+(H15*'"Fine Tune" Variables'!$C$7/12)</f>
        <v>0</v>
      </c>
      <c r="U39" s="25">
        <f>(U4*'"Fine Tune" Variables'!$C$5)+('O365 Calculations'!U5*'"Fine Tune" Variables'!$C$6)+(I15*'"Fine Tune" Variables'!$C$7/12)</f>
        <v>0</v>
      </c>
      <c r="V39" s="25">
        <f>(V4*'"Fine Tune" Variables'!$C$5)+('O365 Calculations'!V5*'"Fine Tune" Variables'!$C$6)+(J15*'"Fine Tune" Variables'!$C$7/12)</f>
        <v>0</v>
      </c>
      <c r="W39" s="25">
        <f>(W4*'"Fine Tune" Variables'!$C$5)+('O365 Calculations'!W5*'"Fine Tune" Variables'!$C$6)+(K15*'"Fine Tune" Variables'!$C$7/12)</f>
        <v>0</v>
      </c>
      <c r="X39" s="25">
        <f>(X4*'"Fine Tune" Variables'!$C$5)+('O365 Calculations'!X5*'"Fine Tune" Variables'!$C$6)+(L15*'"Fine Tune" Variables'!$C$7/12)</f>
        <v>0</v>
      </c>
      <c r="Y39" s="25">
        <f>(Y4*'"Fine Tune" Variables'!$C$5)+('O365 Calculations'!Y5*'"Fine Tune" Variables'!$C$6)+(M15*'"Fine Tune" Variables'!$C$7/12)</f>
        <v>0</v>
      </c>
      <c r="Z39" s="25">
        <f>(Z4*'"Fine Tune" Variables'!$C$5)+('O365 Calculations'!Z5*'"Fine Tune" Variables'!$C$6)+(N15*'"Fine Tune" Variables'!$C$7/12)</f>
        <v>0</v>
      </c>
      <c r="AA39" s="25">
        <f>(AA4*'"Fine Tune" Variables'!$C$5)+('O365 Calculations'!AA5*'"Fine Tune" Variables'!$C$6)+(O15*'"Fine Tune" Variables'!$C$7/12)</f>
        <v>0</v>
      </c>
      <c r="AB39" s="25">
        <f>(AB4*'"Fine Tune" Variables'!$C$5)+('O365 Calculations'!AB5*'"Fine Tune" Variables'!$C$6)+(P15*'"Fine Tune" Variables'!$C$7/12)</f>
        <v>0</v>
      </c>
      <c r="AC39" s="25">
        <f>(AC4*'"Fine Tune" Variables'!$C$5)+('O365 Calculations'!AC5*'"Fine Tune" Variables'!$C$6)+(Q15*'"Fine Tune" Variables'!$C$7/12)</f>
        <v>0</v>
      </c>
      <c r="AD39" s="25">
        <f>(AD4*'"Fine Tune" Variables'!$C$5)+('O365 Calculations'!AD5*'"Fine Tune" Variables'!$C$6)+(R15*'"Fine Tune" Variables'!$C$7/12)</f>
        <v>0</v>
      </c>
      <c r="AE39" s="25">
        <f>(AE4*'"Fine Tune" Variables'!$C$5)+('O365 Calculations'!AE5*'"Fine Tune" Variables'!$C$6)+(S15*'"Fine Tune" Variables'!$C$7/12)</f>
        <v>0</v>
      </c>
      <c r="AF39" s="25">
        <f>(AF4*'"Fine Tune" Variables'!$C$5)+('O365 Calculations'!AF5*'"Fine Tune" Variables'!$C$6)+(T15*'"Fine Tune" Variables'!$C$7/12)</f>
        <v>0</v>
      </c>
      <c r="AG39" s="25">
        <f>(AG4*'"Fine Tune" Variables'!$C$5)+('O365 Calculations'!AG5*'"Fine Tune" Variables'!$C$6)+(U15*'"Fine Tune" Variables'!$C$7/12)</f>
        <v>0</v>
      </c>
      <c r="AH39" s="25">
        <f>(AH4*'"Fine Tune" Variables'!$C$5)+('O365 Calculations'!AH5*'"Fine Tune" Variables'!$C$6)+(V15*'"Fine Tune" Variables'!$C$7/12)</f>
        <v>0</v>
      </c>
      <c r="AI39" s="25">
        <f>(AI4*'"Fine Tune" Variables'!$C$5)+('O365 Calculations'!AI5*'"Fine Tune" Variables'!$C$6)+(W15*'"Fine Tune" Variables'!$C$7/12)</f>
        <v>0</v>
      </c>
      <c r="AJ39" s="25">
        <f>(AJ4*'"Fine Tune" Variables'!$C$5)+('O365 Calculations'!AJ5*'"Fine Tune" Variables'!$C$6)+(X15*'"Fine Tune" Variables'!$C$7/12)</f>
        <v>0</v>
      </c>
      <c r="AK39" s="25">
        <f>(AK4*'"Fine Tune" Variables'!$C$5)+('O365 Calculations'!AK5*'"Fine Tune" Variables'!$C$6)+(Y15*'"Fine Tune" Variables'!$C$7/12)</f>
        <v>0</v>
      </c>
      <c r="AL39" s="25">
        <f>(AL4*'"Fine Tune" Variables'!$C$5)+('O365 Calculations'!AL5*'"Fine Tune" Variables'!$C$6)+(Z15*'"Fine Tune" Variables'!$C$7/12)</f>
        <v>0</v>
      </c>
      <c r="AM39" s="25">
        <f>(AM4*'"Fine Tune" Variables'!$C$5)+('O365 Calculations'!AM5*'"Fine Tune" Variables'!$C$6)+(AA15*'"Fine Tune" Variables'!$C$7/12)</f>
        <v>0</v>
      </c>
      <c r="AN39" s="25">
        <f>(AN4*'"Fine Tune" Variables'!$C$5)+('O365 Calculations'!AN5*'"Fine Tune" Variables'!$C$6)+(AB15*'"Fine Tune" Variables'!$C$7/12)</f>
        <v>0</v>
      </c>
      <c r="AO39" s="25">
        <f>(AO4*'"Fine Tune" Variables'!$C$5)+('O365 Calculations'!AO5*'"Fine Tune" Variables'!$C$6)+(AC15*'"Fine Tune" Variables'!$C$7/12)</f>
        <v>0</v>
      </c>
      <c r="AP39" s="25">
        <f>(AP4*'"Fine Tune" Variables'!$C$5)+('O365 Calculations'!AP5*'"Fine Tune" Variables'!$C$6)+(AD15*'"Fine Tune" Variables'!$C$7/12)</f>
        <v>0</v>
      </c>
      <c r="AQ39" s="25">
        <f>(AQ4*'"Fine Tune" Variables'!$C$5)+('O365 Calculations'!AQ5*'"Fine Tune" Variables'!$C$6)+(AE15*'"Fine Tune" Variables'!$C$7/12)</f>
        <v>0</v>
      </c>
      <c r="AR39" s="25">
        <f>(AR4*'"Fine Tune" Variables'!$C$5)+('O365 Calculations'!AR5*'"Fine Tune" Variables'!$C$6)+(AF15*'"Fine Tune" Variables'!$C$7/12)</f>
        <v>0</v>
      </c>
      <c r="AS39" s="25">
        <f>(AS4*'"Fine Tune" Variables'!$C$5)+('O365 Calculations'!AS5*'"Fine Tune" Variables'!$C$6)+(AG15*'"Fine Tune" Variables'!$C$7/12)</f>
        <v>0</v>
      </c>
      <c r="AT39" s="25">
        <f>(AT4*'"Fine Tune" Variables'!$C$5)+('O365 Calculations'!AT5*'"Fine Tune" Variables'!$C$6)+(AH15*'"Fine Tune" Variables'!$C$7/12)</f>
        <v>0</v>
      </c>
      <c r="AU39" s="25">
        <f>(AU4*'"Fine Tune" Variables'!$C$5)+('O365 Calculations'!AU5*'"Fine Tune" Variables'!$C$6)+(AI15*'"Fine Tune" Variables'!$C$7/12)</f>
        <v>0</v>
      </c>
      <c r="AV39" s="25">
        <f>(AV4*'"Fine Tune" Variables'!$C$5)+('O365 Calculations'!AV5*'"Fine Tune" Variables'!$C$6)+(AJ15*'"Fine Tune" Variables'!$C$7/12)</f>
        <v>0</v>
      </c>
      <c r="AW39" s="25">
        <f>(AW4*'"Fine Tune" Variables'!$C$5)+('O365 Calculations'!AW5*'"Fine Tune" Variables'!$C$6)+(AK15*'"Fine Tune" Variables'!$C$7/12)</f>
        <v>0</v>
      </c>
    </row>
    <row r="40" spans="1:51" s="24" customFormat="1" hidden="1" x14ac:dyDescent="0.25">
      <c r="A40" s="24" t="s">
        <v>32</v>
      </c>
      <c r="B40" s="25">
        <f>(B4*'"Fine Tune" Variables'!$C$11)+('O365 Calculations'!B5*'"Fine Tune" Variables'!$C$12)</f>
        <v>0</v>
      </c>
      <c r="C40" s="25">
        <f>(C4*'"Fine Tune" Variables'!$C$11)+('O365 Calculations'!C5*'"Fine Tune" Variables'!$C$12)</f>
        <v>0</v>
      </c>
      <c r="D40" s="25">
        <f>(D4*'"Fine Tune" Variables'!$C$11)+('O365 Calculations'!D5*'"Fine Tune" Variables'!$C$12)</f>
        <v>0</v>
      </c>
      <c r="E40" s="25">
        <f>(E4*'"Fine Tune" Variables'!$C$11)+('O365 Calculations'!E5*'"Fine Tune" Variables'!$C$12)</f>
        <v>0</v>
      </c>
      <c r="F40" s="25">
        <f>(F4*'"Fine Tune" Variables'!$C$11)+('O365 Calculations'!F5*'"Fine Tune" Variables'!$C$12)</f>
        <v>0</v>
      </c>
      <c r="G40" s="25">
        <f>(G4*'"Fine Tune" Variables'!$C$11)+('O365 Calculations'!G5*'"Fine Tune" Variables'!$C$12)</f>
        <v>0</v>
      </c>
      <c r="H40" s="25">
        <f>(H4*'"Fine Tune" Variables'!$C$11)+('O365 Calculations'!H5*'"Fine Tune" Variables'!$C$12)</f>
        <v>0</v>
      </c>
      <c r="I40" s="25">
        <f>(I4*'"Fine Tune" Variables'!$C$11)+('O365 Calculations'!I5*'"Fine Tune" Variables'!$C$12)</f>
        <v>0</v>
      </c>
      <c r="J40" s="25">
        <f>(J4*'"Fine Tune" Variables'!$C$11)+('O365 Calculations'!J5*'"Fine Tune" Variables'!$C$12)</f>
        <v>0</v>
      </c>
      <c r="K40" s="25">
        <f>(K4*'"Fine Tune" Variables'!$C$11)+('O365 Calculations'!K5*'"Fine Tune" Variables'!$C$12)</f>
        <v>0</v>
      </c>
      <c r="L40" s="25">
        <f>(L4*'"Fine Tune" Variables'!$C$11)+('O365 Calculations'!L5*'"Fine Tune" Variables'!$C$12)</f>
        <v>0</v>
      </c>
      <c r="M40" s="25">
        <f>(M4*'"Fine Tune" Variables'!$C$11)+('O365 Calculations'!M5*'"Fine Tune" Variables'!$C$12)</f>
        <v>0</v>
      </c>
      <c r="N40" s="25">
        <f>(N4*'"Fine Tune" Variables'!$C$11)+('O365 Calculations'!N5*'"Fine Tune" Variables'!$C$12)+(B15*'"Fine Tune" Variables'!$C$13/12)</f>
        <v>0</v>
      </c>
      <c r="O40" s="25">
        <f>(O4*'"Fine Tune" Variables'!$C$11)+('O365 Calculations'!O5*'"Fine Tune" Variables'!$C$12)+(C15*'"Fine Tune" Variables'!$C$13/12)</f>
        <v>0</v>
      </c>
      <c r="P40" s="25">
        <f>(P4*'"Fine Tune" Variables'!$C$11)+('O365 Calculations'!P5*'"Fine Tune" Variables'!$C$12)+(D15*'"Fine Tune" Variables'!$C$13/12)</f>
        <v>0</v>
      </c>
      <c r="Q40" s="25">
        <f>(Q4*'"Fine Tune" Variables'!$C$11)+('O365 Calculations'!Q5*'"Fine Tune" Variables'!$C$12)+(E15*'"Fine Tune" Variables'!$C$13/12)</f>
        <v>0</v>
      </c>
      <c r="R40" s="25">
        <f>(R4*'"Fine Tune" Variables'!$C$11)+('O365 Calculations'!R5*'"Fine Tune" Variables'!$C$12)+(F15*'"Fine Tune" Variables'!$C$13/12)</f>
        <v>0</v>
      </c>
      <c r="S40" s="25">
        <f>(S4*'"Fine Tune" Variables'!$C$11)+('O365 Calculations'!S5*'"Fine Tune" Variables'!$C$12)+(G15*'"Fine Tune" Variables'!$C$13/12)</f>
        <v>0</v>
      </c>
      <c r="T40" s="25">
        <f>(T4*'"Fine Tune" Variables'!$C$11)+('O365 Calculations'!T5*'"Fine Tune" Variables'!$C$12)+(H15*'"Fine Tune" Variables'!$C$13/12)</f>
        <v>0</v>
      </c>
      <c r="U40" s="25">
        <f>(U4*'"Fine Tune" Variables'!$C$11)+('O365 Calculations'!U5*'"Fine Tune" Variables'!$C$12)+(I15*'"Fine Tune" Variables'!$C$13/12)</f>
        <v>0</v>
      </c>
      <c r="V40" s="25">
        <f>(V4*'"Fine Tune" Variables'!$C$11)+('O365 Calculations'!V5*'"Fine Tune" Variables'!$C$12)+(J15*'"Fine Tune" Variables'!$C$13/12)</f>
        <v>0</v>
      </c>
      <c r="W40" s="25">
        <f>(W4*'"Fine Tune" Variables'!$C$11)+('O365 Calculations'!W5*'"Fine Tune" Variables'!$C$12)+(K15*'"Fine Tune" Variables'!$C$13/12)</f>
        <v>0</v>
      </c>
      <c r="X40" s="25">
        <f>(X4*'"Fine Tune" Variables'!$C$11)+('O365 Calculations'!X5*'"Fine Tune" Variables'!$C$12)+(L15*'"Fine Tune" Variables'!$C$13/12)</f>
        <v>0</v>
      </c>
      <c r="Y40" s="25">
        <f>(Y4*'"Fine Tune" Variables'!$C$11)+('O365 Calculations'!Y5*'"Fine Tune" Variables'!$C$12)+(M15*'"Fine Tune" Variables'!$C$13/12)</f>
        <v>0</v>
      </c>
      <c r="Z40" s="25">
        <f>(Z4*'"Fine Tune" Variables'!$C$11)+('O365 Calculations'!Z5*'"Fine Tune" Variables'!$C$12)+(N15*'"Fine Tune" Variables'!$C$13/12)</f>
        <v>0</v>
      </c>
      <c r="AA40" s="25">
        <f>(AA4*'"Fine Tune" Variables'!$C$11)+('O365 Calculations'!AA5*'"Fine Tune" Variables'!$C$12)+(O15*'"Fine Tune" Variables'!$C$13/12)</f>
        <v>0</v>
      </c>
      <c r="AB40" s="25">
        <f>(AB4*'"Fine Tune" Variables'!$C$11)+('O365 Calculations'!AB5*'"Fine Tune" Variables'!$C$12)+(P15*'"Fine Tune" Variables'!$C$13/12)</f>
        <v>0</v>
      </c>
      <c r="AC40" s="25">
        <f>(AC4*'"Fine Tune" Variables'!$C$11)+('O365 Calculations'!AC5*'"Fine Tune" Variables'!$C$12)+(Q15*'"Fine Tune" Variables'!$C$13/12)</f>
        <v>0</v>
      </c>
      <c r="AD40" s="25">
        <f>(AD4*'"Fine Tune" Variables'!$C$11)+('O365 Calculations'!AD5*'"Fine Tune" Variables'!$C$12)+(R15*'"Fine Tune" Variables'!$C$13/12)</f>
        <v>0</v>
      </c>
      <c r="AE40" s="25">
        <f>(AE4*'"Fine Tune" Variables'!$C$11)+('O365 Calculations'!AE5*'"Fine Tune" Variables'!$C$12)+(S15*'"Fine Tune" Variables'!$C$13/12)</f>
        <v>0</v>
      </c>
      <c r="AF40" s="25">
        <f>(AF4*'"Fine Tune" Variables'!$C$11)+('O365 Calculations'!AF5*'"Fine Tune" Variables'!$C$12)+(T15*'"Fine Tune" Variables'!$C$13/12)</f>
        <v>0</v>
      </c>
      <c r="AG40" s="25">
        <f>(AG4*'"Fine Tune" Variables'!$C$11)+('O365 Calculations'!AG5*'"Fine Tune" Variables'!$C$12)+(U15*'"Fine Tune" Variables'!$C$13/12)</f>
        <v>0</v>
      </c>
      <c r="AH40" s="25">
        <f>(AH4*'"Fine Tune" Variables'!$C$11)+('O365 Calculations'!AH5*'"Fine Tune" Variables'!$C$12)+(V15*'"Fine Tune" Variables'!$C$13/12)</f>
        <v>0</v>
      </c>
      <c r="AI40" s="25">
        <f>(AI4*'"Fine Tune" Variables'!$C$11)+('O365 Calculations'!AI5*'"Fine Tune" Variables'!$C$12)+(W15*'"Fine Tune" Variables'!$C$13/12)</f>
        <v>0</v>
      </c>
      <c r="AJ40" s="25">
        <f>(AJ4*'"Fine Tune" Variables'!$C$11)+('O365 Calculations'!AJ5*'"Fine Tune" Variables'!$C$12)+(X15*'"Fine Tune" Variables'!$C$13/12)</f>
        <v>0</v>
      </c>
      <c r="AK40" s="25">
        <f>(AK4*'"Fine Tune" Variables'!$C$11)+('O365 Calculations'!AK5*'"Fine Tune" Variables'!$C$12)+(Y15*'"Fine Tune" Variables'!$C$13/12)</f>
        <v>0</v>
      </c>
      <c r="AL40" s="25">
        <f>(AL4*'"Fine Tune" Variables'!$C$11)+('O365 Calculations'!AL5*'"Fine Tune" Variables'!$C$12)+(Z15*'"Fine Tune" Variables'!$C$13/12)</f>
        <v>0</v>
      </c>
      <c r="AM40" s="25">
        <f>(AM4*'"Fine Tune" Variables'!$C$11)+('O365 Calculations'!AM5*'"Fine Tune" Variables'!$C$12)+(AA15*'"Fine Tune" Variables'!$C$13/12)</f>
        <v>0</v>
      </c>
      <c r="AN40" s="25">
        <f>(AN4*'"Fine Tune" Variables'!$C$11)+('O365 Calculations'!AN5*'"Fine Tune" Variables'!$C$12)+(AB15*'"Fine Tune" Variables'!$C$13/12)</f>
        <v>0</v>
      </c>
      <c r="AO40" s="25">
        <f>(AO4*'"Fine Tune" Variables'!$C$11)+('O365 Calculations'!AO5*'"Fine Tune" Variables'!$C$12)+(AC15*'"Fine Tune" Variables'!$C$13/12)</f>
        <v>0</v>
      </c>
      <c r="AP40" s="25">
        <f>(AP4*'"Fine Tune" Variables'!$C$11)+('O365 Calculations'!AP5*'"Fine Tune" Variables'!$C$12)+(AD15*'"Fine Tune" Variables'!$C$13/12)</f>
        <v>0</v>
      </c>
      <c r="AQ40" s="25">
        <f>(AQ4*'"Fine Tune" Variables'!$C$11)+('O365 Calculations'!AQ5*'"Fine Tune" Variables'!$C$12)+(AE15*'"Fine Tune" Variables'!$C$13/12)</f>
        <v>0</v>
      </c>
      <c r="AR40" s="25">
        <f>(AR4*'"Fine Tune" Variables'!$C$11)+('O365 Calculations'!AR5*'"Fine Tune" Variables'!$C$12)+(AF15*'"Fine Tune" Variables'!$C$13/12)</f>
        <v>0</v>
      </c>
      <c r="AS40" s="25">
        <f>(AS4*'"Fine Tune" Variables'!$C$11)+('O365 Calculations'!AS5*'"Fine Tune" Variables'!$C$12)+(AG15*'"Fine Tune" Variables'!$C$13/12)</f>
        <v>0</v>
      </c>
      <c r="AT40" s="25">
        <f>(AT4*'"Fine Tune" Variables'!$C$11)+('O365 Calculations'!AT5*'"Fine Tune" Variables'!$C$12)+(AH15*'"Fine Tune" Variables'!$C$13/12)</f>
        <v>0</v>
      </c>
      <c r="AU40" s="25">
        <f>(AU4*'"Fine Tune" Variables'!$C$11)+('O365 Calculations'!AU5*'"Fine Tune" Variables'!$C$12)+(AI15*'"Fine Tune" Variables'!$C$13/12)</f>
        <v>0</v>
      </c>
      <c r="AV40" s="25">
        <f>(AV4*'"Fine Tune" Variables'!$C$11)+('O365 Calculations'!AV5*'"Fine Tune" Variables'!$C$12)+(AJ15*'"Fine Tune" Variables'!$C$13/12)</f>
        <v>0</v>
      </c>
      <c r="AW40" s="25">
        <f>(AW4*'"Fine Tune" Variables'!$C$11)+('O365 Calculations'!AW5*'"Fine Tune" Variables'!$C$12)+(AK15*'"Fine Tune" Variables'!$C$13/12)</f>
        <v>0</v>
      </c>
    </row>
    <row r="41" spans="1:51" hidden="1" x14ac:dyDescent="0.25">
      <c r="A41" s="3" t="s">
        <v>55</v>
      </c>
      <c r="B41" s="6">
        <f>'Key Variables'!$G$91/12</f>
        <v>0</v>
      </c>
      <c r="C41" s="6">
        <f>'Key Variables'!$G$91/12</f>
        <v>0</v>
      </c>
      <c r="D41" s="6">
        <f>'Key Variables'!$G$91/12</f>
        <v>0</v>
      </c>
      <c r="E41" s="6">
        <f>'Key Variables'!$G$91/12</f>
        <v>0</v>
      </c>
      <c r="F41" s="6">
        <f>'Key Variables'!$G$91/12</f>
        <v>0</v>
      </c>
      <c r="G41" s="6">
        <f>'Key Variables'!$G$91/12</f>
        <v>0</v>
      </c>
      <c r="H41" s="6">
        <f>'Key Variables'!$G$91/12</f>
        <v>0</v>
      </c>
      <c r="I41" s="6">
        <f>'Key Variables'!$G$91/12</f>
        <v>0</v>
      </c>
      <c r="J41" s="6">
        <f>'Key Variables'!$G$91/12</f>
        <v>0</v>
      </c>
      <c r="K41" s="6">
        <f>'Key Variables'!$G$91/12</f>
        <v>0</v>
      </c>
      <c r="L41" s="6">
        <f>'Key Variables'!$G$91/12</f>
        <v>0</v>
      </c>
      <c r="M41" s="6">
        <f>'Key Variables'!$G$91/12</f>
        <v>0</v>
      </c>
      <c r="N41" s="6">
        <f>'Key Variables'!$I$91/12</f>
        <v>0</v>
      </c>
      <c r="O41" s="6">
        <f>'Key Variables'!$I$91/12</f>
        <v>0</v>
      </c>
      <c r="P41" s="6">
        <f>'Key Variables'!$I$91/12</f>
        <v>0</v>
      </c>
      <c r="Q41" s="6">
        <f>'Key Variables'!$I$91/12</f>
        <v>0</v>
      </c>
      <c r="R41" s="6">
        <f>'Key Variables'!$I$91/12</f>
        <v>0</v>
      </c>
      <c r="S41" s="6">
        <f>'Key Variables'!$I$91/12</f>
        <v>0</v>
      </c>
      <c r="T41" s="6">
        <f>'Key Variables'!$I$91/12</f>
        <v>0</v>
      </c>
      <c r="U41" s="6">
        <f>'Key Variables'!$I$91/12</f>
        <v>0</v>
      </c>
      <c r="V41" s="6">
        <f>'Key Variables'!$I$91/12</f>
        <v>0</v>
      </c>
      <c r="W41" s="6">
        <f>'Key Variables'!$I$91/12</f>
        <v>0</v>
      </c>
      <c r="X41" s="6">
        <f>'Key Variables'!$I$91/12</f>
        <v>0</v>
      </c>
      <c r="Y41" s="6">
        <f>'Key Variables'!$I$91/12</f>
        <v>0</v>
      </c>
      <c r="Z41" s="6">
        <f>'Key Variables'!$J$91/12</f>
        <v>0</v>
      </c>
      <c r="AA41" s="6">
        <f>'Key Variables'!$J$91/12</f>
        <v>0</v>
      </c>
      <c r="AB41" s="6">
        <f>'Key Variables'!$J$91/12</f>
        <v>0</v>
      </c>
      <c r="AC41" s="6">
        <f>'Key Variables'!$J$91/12</f>
        <v>0</v>
      </c>
      <c r="AD41" s="6">
        <f>'Key Variables'!$J$91/12</f>
        <v>0</v>
      </c>
      <c r="AE41" s="6">
        <f>'Key Variables'!$J$91/12</f>
        <v>0</v>
      </c>
      <c r="AF41" s="6">
        <f>'Key Variables'!$J$91/12</f>
        <v>0</v>
      </c>
      <c r="AG41" s="6">
        <f>'Key Variables'!$J$91/12</f>
        <v>0</v>
      </c>
      <c r="AH41" s="6">
        <f>'Key Variables'!$J$91/12</f>
        <v>0</v>
      </c>
      <c r="AI41" s="6">
        <f>'Key Variables'!$J$91/12</f>
        <v>0</v>
      </c>
      <c r="AJ41" s="6">
        <f>'Key Variables'!$J$91/12</f>
        <v>0</v>
      </c>
      <c r="AK41" s="6">
        <f>'Key Variables'!$J$91/12</f>
        <v>0</v>
      </c>
      <c r="AL41" s="6">
        <f>'Key Variables'!$K$91/12</f>
        <v>0</v>
      </c>
      <c r="AM41" s="6">
        <f>'Key Variables'!$K$91/12</f>
        <v>0</v>
      </c>
      <c r="AN41" s="6">
        <f>'Key Variables'!$K$91/12</f>
        <v>0</v>
      </c>
      <c r="AO41" s="6">
        <f>'Key Variables'!$K$91/12</f>
        <v>0</v>
      </c>
      <c r="AP41" s="6">
        <f>'Key Variables'!$K$91/12</f>
        <v>0</v>
      </c>
      <c r="AQ41" s="6">
        <f>'Key Variables'!$K$91/12</f>
        <v>0</v>
      </c>
      <c r="AR41" s="6">
        <f>'Key Variables'!$K$91/12</f>
        <v>0</v>
      </c>
      <c r="AS41" s="6">
        <f>'Key Variables'!$K$91/12</f>
        <v>0</v>
      </c>
      <c r="AT41" s="6">
        <f>'Key Variables'!$K$91/12</f>
        <v>0</v>
      </c>
      <c r="AU41" s="6">
        <f>'Key Variables'!$K$91/12</f>
        <v>0</v>
      </c>
      <c r="AV41" s="6">
        <f>'Key Variables'!$K$91/12</f>
        <v>0</v>
      </c>
      <c r="AW41" s="6">
        <f>'Key Variables'!$K$91/12</f>
        <v>0</v>
      </c>
    </row>
    <row r="42" spans="1:51" hidden="1" x14ac:dyDescent="0.25">
      <c r="A42" s="3" t="s">
        <v>54</v>
      </c>
      <c r="B42" s="6">
        <f>'Key Variables'!$G$7/12</f>
        <v>4747.395833333333</v>
      </c>
      <c r="C42" s="6">
        <f>'Key Variables'!$G$7/12</f>
        <v>4747.395833333333</v>
      </c>
      <c r="D42" s="6">
        <f>'Key Variables'!$G$7/12</f>
        <v>4747.395833333333</v>
      </c>
      <c r="E42" s="6">
        <f>'Key Variables'!$G$7/12</f>
        <v>4747.395833333333</v>
      </c>
      <c r="F42" s="6">
        <f>'Key Variables'!$G$7/12</f>
        <v>4747.395833333333</v>
      </c>
      <c r="G42" s="6">
        <f>'Key Variables'!$G$7/12</f>
        <v>4747.395833333333</v>
      </c>
      <c r="H42" s="6">
        <f>'Key Variables'!$G$7/12</f>
        <v>4747.395833333333</v>
      </c>
      <c r="I42" s="6">
        <f>'Key Variables'!$G$7/12</f>
        <v>4747.395833333333</v>
      </c>
      <c r="J42" s="6">
        <f>'Key Variables'!$G$7/12</f>
        <v>4747.395833333333</v>
      </c>
      <c r="K42" s="6">
        <f>'Key Variables'!$G$7/12</f>
        <v>4747.395833333333</v>
      </c>
      <c r="L42" s="6">
        <f>'Key Variables'!$G$7/12</f>
        <v>4747.395833333333</v>
      </c>
      <c r="M42" s="6">
        <f>'Key Variables'!$G$7/12</f>
        <v>4747.395833333333</v>
      </c>
      <c r="N42" s="6">
        <f>'Key Variables'!$H$7/12</f>
        <v>13390.842013888889</v>
      </c>
      <c r="O42" s="6">
        <f>'Key Variables'!$H$7/12</f>
        <v>13390.842013888889</v>
      </c>
      <c r="P42" s="6">
        <f>'Key Variables'!$H$7/12</f>
        <v>13390.842013888889</v>
      </c>
      <c r="Q42" s="6">
        <f>'Key Variables'!$H$7/12</f>
        <v>13390.842013888889</v>
      </c>
      <c r="R42" s="6">
        <f>'Key Variables'!$H$7/12</f>
        <v>13390.842013888889</v>
      </c>
      <c r="S42" s="6">
        <f>'Key Variables'!$H$7/12</f>
        <v>13390.842013888889</v>
      </c>
      <c r="T42" s="6">
        <f>'Key Variables'!$H$7/12</f>
        <v>13390.842013888889</v>
      </c>
      <c r="U42" s="6">
        <f>'Key Variables'!$H$7/12</f>
        <v>13390.842013888889</v>
      </c>
      <c r="V42" s="6">
        <f>'Key Variables'!$H$7/12</f>
        <v>13390.842013888889</v>
      </c>
      <c r="W42" s="6">
        <f>'Key Variables'!$H$7/12</f>
        <v>13390.842013888889</v>
      </c>
      <c r="X42" s="6">
        <f>'Key Variables'!$H$7/12</f>
        <v>13390.842013888889</v>
      </c>
      <c r="Y42" s="6">
        <f>'Key Variables'!$H$7/12</f>
        <v>13390.842013888889</v>
      </c>
      <c r="Z42" s="6">
        <f>'Key Variables'!$J$7/12</f>
        <v>22656.25</v>
      </c>
      <c r="AA42" s="6">
        <f>'Key Variables'!$J$7/12</f>
        <v>22656.25</v>
      </c>
      <c r="AB42" s="6">
        <f>'Key Variables'!$J$7/12</f>
        <v>22656.25</v>
      </c>
      <c r="AC42" s="6">
        <f>'Key Variables'!$J$7/12</f>
        <v>22656.25</v>
      </c>
      <c r="AD42" s="6">
        <f>'Key Variables'!$J$7/12</f>
        <v>22656.25</v>
      </c>
      <c r="AE42" s="6">
        <f>'Key Variables'!$J$7/12</f>
        <v>22656.25</v>
      </c>
      <c r="AF42" s="6">
        <f>'Key Variables'!$J$7/12</f>
        <v>22656.25</v>
      </c>
      <c r="AG42" s="6">
        <f>'Key Variables'!$J$7/12</f>
        <v>22656.25</v>
      </c>
      <c r="AH42" s="6">
        <f>'Key Variables'!$J$7/12</f>
        <v>22656.25</v>
      </c>
      <c r="AI42" s="6">
        <f>'Key Variables'!$J$7/12</f>
        <v>22656.25</v>
      </c>
      <c r="AJ42" s="6">
        <f>'Key Variables'!$J$7/12</f>
        <v>22656.25</v>
      </c>
      <c r="AK42" s="6">
        <f>'Key Variables'!$J$7/12</f>
        <v>22656.25</v>
      </c>
      <c r="AL42" s="6">
        <f>'Key Variables'!$K$7/12</f>
        <v>29246.744791666668</v>
      </c>
      <c r="AM42" s="6">
        <f>'Key Variables'!$K$7/12</f>
        <v>29246.744791666668</v>
      </c>
      <c r="AN42" s="6">
        <f>'Key Variables'!$K$7/12</f>
        <v>29246.744791666668</v>
      </c>
      <c r="AO42" s="6">
        <f>'Key Variables'!$K$7/12</f>
        <v>29246.744791666668</v>
      </c>
      <c r="AP42" s="6">
        <f>'Key Variables'!$K$7/12</f>
        <v>29246.744791666668</v>
      </c>
      <c r="AQ42" s="6">
        <f>'Key Variables'!$K$7/12</f>
        <v>29246.744791666668</v>
      </c>
      <c r="AR42" s="6">
        <f>'Key Variables'!$K$7/12</f>
        <v>29246.744791666668</v>
      </c>
      <c r="AS42" s="6">
        <f>'Key Variables'!$K$7/12</f>
        <v>29246.744791666668</v>
      </c>
      <c r="AT42" s="6">
        <f>'Key Variables'!$K$7/12</f>
        <v>29246.744791666668</v>
      </c>
      <c r="AU42" s="6">
        <f>'Key Variables'!$K$7/12</f>
        <v>29246.744791666668</v>
      </c>
      <c r="AV42" s="6">
        <f>'Key Variables'!$K$7/12</f>
        <v>29246.744791666668</v>
      </c>
      <c r="AW42" s="6">
        <f>'Key Variables'!$K$7/12</f>
        <v>29246.744791666668</v>
      </c>
    </row>
    <row r="43" spans="1:51" hidden="1" x14ac:dyDescent="0.25">
      <c r="A43" s="3" t="s">
        <v>68</v>
      </c>
      <c r="B43" s="6">
        <f>'"Fine Tune" Variables'!$G$4/12</f>
        <v>0</v>
      </c>
      <c r="C43" s="6">
        <f>'"Fine Tune" Variables'!$G$4/12</f>
        <v>0</v>
      </c>
      <c r="D43" s="6">
        <f>'"Fine Tune" Variables'!$G$4/12</f>
        <v>0</v>
      </c>
      <c r="E43" s="6">
        <f>'"Fine Tune" Variables'!$G$4/12</f>
        <v>0</v>
      </c>
      <c r="F43" s="6">
        <f>'"Fine Tune" Variables'!$G$4/12</f>
        <v>0</v>
      </c>
      <c r="G43" s="6">
        <f>'"Fine Tune" Variables'!$G$4/12</f>
        <v>0</v>
      </c>
      <c r="H43" s="6">
        <f>'"Fine Tune" Variables'!$G$4/12</f>
        <v>0</v>
      </c>
      <c r="I43" s="6">
        <f>'"Fine Tune" Variables'!$G$4/12</f>
        <v>0</v>
      </c>
      <c r="J43" s="6">
        <f>'"Fine Tune" Variables'!$G$4/12</f>
        <v>0</v>
      </c>
      <c r="K43" s="6">
        <f>'"Fine Tune" Variables'!$G$4/12</f>
        <v>0</v>
      </c>
      <c r="L43" s="6">
        <f>'"Fine Tune" Variables'!$G$4/12</f>
        <v>0</v>
      </c>
      <c r="M43" s="6">
        <f>'"Fine Tune" Variables'!$G$4/12</f>
        <v>0</v>
      </c>
      <c r="N43" s="6">
        <f>'"Fine Tune" Variables'!$H$4/12</f>
        <v>0</v>
      </c>
      <c r="O43" s="6">
        <f>'"Fine Tune" Variables'!$H$4/12</f>
        <v>0</v>
      </c>
      <c r="P43" s="6">
        <f>'"Fine Tune" Variables'!$H$4/12</f>
        <v>0</v>
      </c>
      <c r="Q43" s="6">
        <f>'"Fine Tune" Variables'!$H$4/12</f>
        <v>0</v>
      </c>
      <c r="R43" s="6">
        <f>'"Fine Tune" Variables'!$H$4/12</f>
        <v>0</v>
      </c>
      <c r="S43" s="6">
        <f>'"Fine Tune" Variables'!$H$4/12</f>
        <v>0</v>
      </c>
      <c r="T43" s="6">
        <f>'"Fine Tune" Variables'!$H$4/12</f>
        <v>0</v>
      </c>
      <c r="U43" s="6">
        <f>'"Fine Tune" Variables'!$H$4/12</f>
        <v>0</v>
      </c>
      <c r="V43" s="6">
        <f>'"Fine Tune" Variables'!$H$4/12</f>
        <v>0</v>
      </c>
      <c r="W43" s="6">
        <f>'"Fine Tune" Variables'!$H$4/12</f>
        <v>0</v>
      </c>
      <c r="X43" s="6">
        <f>'"Fine Tune" Variables'!$H$4/12</f>
        <v>0</v>
      </c>
      <c r="Y43" s="6">
        <f>'"Fine Tune" Variables'!$H$4/12</f>
        <v>0</v>
      </c>
      <c r="Z43" s="6">
        <f>'"Fine Tune" Variables'!$I$4/12</f>
        <v>0</v>
      </c>
      <c r="AA43" s="6">
        <f>'"Fine Tune" Variables'!$I$4/12</f>
        <v>0</v>
      </c>
      <c r="AB43" s="6">
        <f>'"Fine Tune" Variables'!$I$4/12</f>
        <v>0</v>
      </c>
      <c r="AC43" s="6">
        <f>'"Fine Tune" Variables'!$I$4/12</f>
        <v>0</v>
      </c>
      <c r="AD43" s="6">
        <f>'"Fine Tune" Variables'!$I$4/12</f>
        <v>0</v>
      </c>
      <c r="AE43" s="6">
        <f>'"Fine Tune" Variables'!$I$4/12</f>
        <v>0</v>
      </c>
      <c r="AF43" s="6">
        <f>'"Fine Tune" Variables'!$I$4/12</f>
        <v>0</v>
      </c>
      <c r="AG43" s="6">
        <f>'"Fine Tune" Variables'!$I$4/12</f>
        <v>0</v>
      </c>
      <c r="AH43" s="6">
        <f>'"Fine Tune" Variables'!$I$4/12</f>
        <v>0</v>
      </c>
      <c r="AI43" s="6">
        <f>'"Fine Tune" Variables'!$I$4/12</f>
        <v>0</v>
      </c>
      <c r="AJ43" s="6">
        <f>'"Fine Tune" Variables'!$I$4/12</f>
        <v>0</v>
      </c>
      <c r="AK43" s="6">
        <f>'"Fine Tune" Variables'!$I$4/12</f>
        <v>0</v>
      </c>
      <c r="AL43" s="6">
        <f>'"Fine Tune" Variables'!$J$4/12</f>
        <v>0</v>
      </c>
      <c r="AM43" s="6">
        <f>'"Fine Tune" Variables'!$J$4/12</f>
        <v>0</v>
      </c>
      <c r="AN43" s="6">
        <f>'"Fine Tune" Variables'!$J$4/12</f>
        <v>0</v>
      </c>
      <c r="AO43" s="6">
        <f>'"Fine Tune" Variables'!$J$4/12</f>
        <v>0</v>
      </c>
      <c r="AP43" s="6">
        <f>'"Fine Tune" Variables'!$J$4/12</f>
        <v>0</v>
      </c>
      <c r="AQ43" s="6">
        <f>'"Fine Tune" Variables'!$J$4/12</f>
        <v>0</v>
      </c>
      <c r="AR43" s="6">
        <f>'"Fine Tune" Variables'!$J$4/12</f>
        <v>0</v>
      </c>
      <c r="AS43" s="6">
        <f>'"Fine Tune" Variables'!$J$4/12</f>
        <v>0</v>
      </c>
      <c r="AT43" s="6">
        <f>'"Fine Tune" Variables'!$J$4/12</f>
        <v>0</v>
      </c>
      <c r="AU43" s="6">
        <f>'"Fine Tune" Variables'!$J$4/12</f>
        <v>0</v>
      </c>
      <c r="AV43" s="6">
        <f>'"Fine Tune" Variables'!$J$4/12</f>
        <v>0</v>
      </c>
      <c r="AW43" s="6">
        <f>'"Fine Tune" Variables'!$J$4/12</f>
        <v>0</v>
      </c>
    </row>
    <row r="44" spans="1:51" hidden="1" x14ac:dyDescent="0.25">
      <c r="A44" s="3" t="s">
        <v>22</v>
      </c>
      <c r="B44" s="6"/>
      <c r="C44" s="6"/>
      <c r="D44" s="6"/>
      <c r="E44" s="6"/>
      <c r="F44" s="6"/>
      <c r="G44" s="6"/>
      <c r="H44" s="6"/>
      <c r="I44" s="6"/>
      <c r="J44" s="6"/>
      <c r="K44" s="6"/>
      <c r="L44" s="6"/>
      <c r="M44" s="6"/>
      <c r="N44" s="6">
        <f>((B15)*'"Fine Tune" Variables'!$C$7/12)</f>
        <v>0</v>
      </c>
      <c r="O44" s="6">
        <f>((C15)*'"Fine Tune" Variables'!$C$7/12)</f>
        <v>0</v>
      </c>
      <c r="P44" s="6">
        <f>((D15)*'"Fine Tune" Variables'!$C$7/12)</f>
        <v>0</v>
      </c>
      <c r="Q44" s="6">
        <f>((E15)*'"Fine Tune" Variables'!$C$7/12)</f>
        <v>0</v>
      </c>
      <c r="R44" s="6">
        <f>((F15)*'"Fine Tune" Variables'!$C$7/12)</f>
        <v>0</v>
      </c>
      <c r="S44" s="6">
        <f>((G15)*'"Fine Tune" Variables'!$C$7/12)</f>
        <v>0</v>
      </c>
      <c r="T44" s="6">
        <f>((H15)*'"Fine Tune" Variables'!$C$7/12)</f>
        <v>0</v>
      </c>
      <c r="U44" s="6">
        <f>((I15)*'"Fine Tune" Variables'!$C$7/12)</f>
        <v>0</v>
      </c>
      <c r="V44" s="6">
        <f>((J15)*'"Fine Tune" Variables'!$C$7/12)</f>
        <v>0</v>
      </c>
      <c r="W44" s="6">
        <f>((K15)*'"Fine Tune" Variables'!$C$7/12)</f>
        <v>0</v>
      </c>
      <c r="X44" s="6">
        <f>((L15)*'"Fine Tune" Variables'!$C$7/12)</f>
        <v>0</v>
      </c>
      <c r="Y44" s="6">
        <f>((M15)*'"Fine Tune" Variables'!$C$7/12)</f>
        <v>0</v>
      </c>
      <c r="Z44" s="6">
        <f>((N15)*'"Fine Tune" Variables'!$C$7/12)</f>
        <v>0</v>
      </c>
      <c r="AA44" s="6">
        <f>((O15)*'"Fine Tune" Variables'!$C$7/12)</f>
        <v>0</v>
      </c>
      <c r="AB44" s="6">
        <f>((P15)*'"Fine Tune" Variables'!$C$7/12)</f>
        <v>0</v>
      </c>
      <c r="AC44" s="6">
        <f>((Q15)*'"Fine Tune" Variables'!$C$7/12)</f>
        <v>0</v>
      </c>
      <c r="AD44" s="6">
        <f>((R15)*'"Fine Tune" Variables'!$C$7/12)</f>
        <v>0</v>
      </c>
      <c r="AE44" s="6">
        <f>((S15)*'"Fine Tune" Variables'!$C$7/12)</f>
        <v>0</v>
      </c>
      <c r="AF44" s="6">
        <f>((T15)*'"Fine Tune" Variables'!$C$7/12)</f>
        <v>0</v>
      </c>
      <c r="AG44" s="6">
        <f>((U15)*'"Fine Tune" Variables'!$C$7/12)</f>
        <v>0</v>
      </c>
      <c r="AH44" s="6">
        <f>((V15)*'"Fine Tune" Variables'!$C$7/12)</f>
        <v>0</v>
      </c>
      <c r="AI44" s="6">
        <f>((W15)*'"Fine Tune" Variables'!$C$7/12)</f>
        <v>0</v>
      </c>
      <c r="AJ44" s="6">
        <f>((X15)*'"Fine Tune" Variables'!$C$7/12)</f>
        <v>0</v>
      </c>
      <c r="AK44" s="6">
        <f>((Y15)*'"Fine Tune" Variables'!$C$7/12)</f>
        <v>0</v>
      </c>
      <c r="AL44" s="6">
        <f>((Z15)*'"Fine Tune" Variables'!$C$7/12)</f>
        <v>0</v>
      </c>
      <c r="AM44" s="6">
        <f>((AA15)*'"Fine Tune" Variables'!$C$7/12)</f>
        <v>0</v>
      </c>
      <c r="AN44" s="6">
        <f>((AB15)*'"Fine Tune" Variables'!$C$7/12)</f>
        <v>0</v>
      </c>
      <c r="AO44" s="6">
        <f>((AC15)*'"Fine Tune" Variables'!$C$7/12)</f>
        <v>0</v>
      </c>
      <c r="AP44" s="6">
        <f>((AD15)*'"Fine Tune" Variables'!$C$7/12)</f>
        <v>0</v>
      </c>
      <c r="AQ44" s="6">
        <f>((AE15)*'"Fine Tune" Variables'!$C$7/12)</f>
        <v>0</v>
      </c>
      <c r="AR44" s="6">
        <f>((AF15)*'"Fine Tune" Variables'!$C$7/12)</f>
        <v>0</v>
      </c>
      <c r="AS44" s="6">
        <f>((AG15)*'"Fine Tune" Variables'!$C$7/12)</f>
        <v>0</v>
      </c>
      <c r="AT44" s="6">
        <f>((AH15)*'"Fine Tune" Variables'!$C$7/12)</f>
        <v>0</v>
      </c>
      <c r="AU44" s="6">
        <f>((AI15)*'"Fine Tune" Variables'!$C$7/12)</f>
        <v>0</v>
      </c>
      <c r="AV44" s="6">
        <f>((AJ15)*'"Fine Tune" Variables'!$C$7/12)</f>
        <v>0</v>
      </c>
      <c r="AW44" s="6">
        <f>((AK15)*'"Fine Tune" Variables'!$C$7/12)</f>
        <v>0</v>
      </c>
    </row>
    <row r="45" spans="1:51" hidden="1" x14ac:dyDescent="0.25">
      <c r="A45" s="3" t="s">
        <v>23</v>
      </c>
      <c r="B45" s="6"/>
      <c r="C45" s="6"/>
      <c r="D45" s="6"/>
      <c r="E45" s="6"/>
      <c r="F45" s="6"/>
      <c r="G45" s="6"/>
      <c r="H45" s="6"/>
      <c r="I45" s="6"/>
      <c r="J45" s="6"/>
      <c r="K45" s="6"/>
      <c r="L45" s="6"/>
      <c r="M45" s="6"/>
      <c r="N45" s="6">
        <f>((B15)*'"Fine Tune" Variables'!$C$13/12)</f>
        <v>0</v>
      </c>
      <c r="O45" s="6">
        <f>((C15)*'"Fine Tune" Variables'!$C$13/12)</f>
        <v>0</v>
      </c>
      <c r="P45" s="6">
        <f>((D15)*'"Fine Tune" Variables'!$C$13/12)</f>
        <v>0</v>
      </c>
      <c r="Q45" s="6">
        <f>((E15)*'"Fine Tune" Variables'!$C$13/12)</f>
        <v>0</v>
      </c>
      <c r="R45" s="6">
        <f>((F15)*'"Fine Tune" Variables'!$C$13/12)</f>
        <v>0</v>
      </c>
      <c r="S45" s="6">
        <f>((G15)*'"Fine Tune" Variables'!$C$13/12)</f>
        <v>0</v>
      </c>
      <c r="T45" s="6">
        <f>((H15)*'"Fine Tune" Variables'!$C$13/12)</f>
        <v>0</v>
      </c>
      <c r="U45" s="6">
        <f>((I15)*'"Fine Tune" Variables'!$C$13/12)</f>
        <v>0</v>
      </c>
      <c r="V45" s="6">
        <f>((J15)*'"Fine Tune" Variables'!$C$13/12)</f>
        <v>0</v>
      </c>
      <c r="W45" s="6">
        <f>((K15)*'"Fine Tune" Variables'!$C$13/12)</f>
        <v>0</v>
      </c>
      <c r="X45" s="6">
        <f>((L15)*'"Fine Tune" Variables'!$C$13/12)</f>
        <v>0</v>
      </c>
      <c r="Y45" s="6">
        <f>((M15)*'"Fine Tune" Variables'!$C$13/12)</f>
        <v>0</v>
      </c>
      <c r="Z45" s="6">
        <f>((N15)*'"Fine Tune" Variables'!$C$13/12)</f>
        <v>0</v>
      </c>
      <c r="AA45" s="6">
        <f>((O15)*'"Fine Tune" Variables'!$C$13/12)</f>
        <v>0</v>
      </c>
      <c r="AB45" s="6">
        <f>((P15)*'"Fine Tune" Variables'!$C$13/12)</f>
        <v>0</v>
      </c>
      <c r="AC45" s="6">
        <f>((Q15)*'"Fine Tune" Variables'!$C$13/12)</f>
        <v>0</v>
      </c>
      <c r="AD45" s="6">
        <f>((R15)*'"Fine Tune" Variables'!$C$13/12)</f>
        <v>0</v>
      </c>
      <c r="AE45" s="6">
        <f>((S15)*'"Fine Tune" Variables'!$C$13/12)</f>
        <v>0</v>
      </c>
      <c r="AF45" s="6">
        <f>((T15)*'"Fine Tune" Variables'!$C$13/12)</f>
        <v>0</v>
      </c>
      <c r="AG45" s="6">
        <f>((U15)*'"Fine Tune" Variables'!$C$13/12)</f>
        <v>0</v>
      </c>
      <c r="AH45" s="6">
        <f>((V15)*'"Fine Tune" Variables'!$C$13/12)</f>
        <v>0</v>
      </c>
      <c r="AI45" s="6">
        <f>((W15)*'"Fine Tune" Variables'!$C$13/12)</f>
        <v>0</v>
      </c>
      <c r="AJ45" s="6">
        <f>((X15)*'"Fine Tune" Variables'!$C$13/12)</f>
        <v>0</v>
      </c>
      <c r="AK45" s="6">
        <f>((Y15)*'"Fine Tune" Variables'!$C$13/12)</f>
        <v>0</v>
      </c>
      <c r="AL45" s="6">
        <f>((Z15)*'"Fine Tune" Variables'!$C$13/12)</f>
        <v>0</v>
      </c>
      <c r="AM45" s="6">
        <f>((AA15)*'"Fine Tune" Variables'!$C$13/12)</f>
        <v>0</v>
      </c>
      <c r="AN45" s="6">
        <f>((AB15)*'"Fine Tune" Variables'!$C$13/12)</f>
        <v>0</v>
      </c>
      <c r="AO45" s="6">
        <f>((AC15)*'"Fine Tune" Variables'!$C$13/12)</f>
        <v>0</v>
      </c>
      <c r="AP45" s="6">
        <f>((AD15)*'"Fine Tune" Variables'!$C$13/12)</f>
        <v>0</v>
      </c>
      <c r="AQ45" s="6">
        <f>((AE15)*'"Fine Tune" Variables'!$C$13/12)</f>
        <v>0</v>
      </c>
      <c r="AR45" s="6">
        <f>((AF15)*'"Fine Tune" Variables'!$C$13/12)</f>
        <v>0</v>
      </c>
      <c r="AS45" s="6">
        <f>((AG15)*'"Fine Tune" Variables'!$C$13/12)</f>
        <v>0</v>
      </c>
      <c r="AT45" s="6">
        <f>((AH15)*'"Fine Tune" Variables'!$C$13/12)</f>
        <v>0</v>
      </c>
      <c r="AU45" s="6">
        <f>((AI15)*'"Fine Tune" Variables'!$C$13/12)</f>
        <v>0</v>
      </c>
      <c r="AV45" s="6">
        <f>((AJ15)*'"Fine Tune" Variables'!$C$13/12)</f>
        <v>0</v>
      </c>
      <c r="AW45" s="6">
        <f>((AK15)*'"Fine Tune" Variables'!$C$13/12)</f>
        <v>0</v>
      </c>
    </row>
    <row r="46" spans="1:51" hidden="1" x14ac:dyDescent="0.25">
      <c r="A46" s="3" t="s">
        <v>24</v>
      </c>
      <c r="B46" s="6">
        <f>'Key Variables'!$G$11/12</f>
        <v>6250</v>
      </c>
      <c r="C46" s="6">
        <f>'Key Variables'!$G$11/12</f>
        <v>6250</v>
      </c>
      <c r="D46" s="6">
        <f>'Key Variables'!$G$11/12</f>
        <v>6250</v>
      </c>
      <c r="E46" s="6">
        <f>'Key Variables'!$G$11/12</f>
        <v>6250</v>
      </c>
      <c r="F46" s="6">
        <f>'Key Variables'!$G$11/12</f>
        <v>6250</v>
      </c>
      <c r="G46" s="6">
        <f>'Key Variables'!$G$11/12</f>
        <v>6250</v>
      </c>
      <c r="H46" s="6">
        <f>'Key Variables'!$G$11/12</f>
        <v>6250</v>
      </c>
      <c r="I46" s="6">
        <f>'Key Variables'!$G$11/12</f>
        <v>6250</v>
      </c>
      <c r="J46" s="6">
        <f>'Key Variables'!$G$11/12</f>
        <v>6250</v>
      </c>
      <c r="K46" s="6">
        <f>'Key Variables'!$G$11/12</f>
        <v>6250</v>
      </c>
      <c r="L46" s="6">
        <f>'Key Variables'!$G$11/12</f>
        <v>6250</v>
      </c>
      <c r="M46" s="6">
        <f>'Key Variables'!$G$11/12</f>
        <v>6250</v>
      </c>
      <c r="N46" s="6">
        <f>'Key Variables'!$H$11/12</f>
        <v>6250</v>
      </c>
      <c r="O46" s="6">
        <f>'Key Variables'!$H$11/12</f>
        <v>6250</v>
      </c>
      <c r="P46" s="6">
        <f>'Key Variables'!$H$11/12</f>
        <v>6250</v>
      </c>
      <c r="Q46" s="6">
        <f>'Key Variables'!$H$11/12</f>
        <v>6250</v>
      </c>
      <c r="R46" s="6">
        <f>'Key Variables'!$H$11/12</f>
        <v>6250</v>
      </c>
      <c r="S46" s="6">
        <f>'Key Variables'!$H$11/12</f>
        <v>6250</v>
      </c>
      <c r="T46" s="6">
        <f>'Key Variables'!$H$11/12</f>
        <v>6250</v>
      </c>
      <c r="U46" s="6">
        <f>'Key Variables'!$H$11/12</f>
        <v>6250</v>
      </c>
      <c r="V46" s="6">
        <f>'Key Variables'!$H$11/12</f>
        <v>6250</v>
      </c>
      <c r="W46" s="6">
        <f>'Key Variables'!$H$11/12</f>
        <v>6250</v>
      </c>
      <c r="X46" s="6">
        <f>'Key Variables'!$H$11/12</f>
        <v>6250</v>
      </c>
      <c r="Y46" s="6">
        <f>'Key Variables'!$H$11/12</f>
        <v>6250</v>
      </c>
      <c r="Z46" s="6">
        <f>'Key Variables'!$J$11/12</f>
        <v>6250</v>
      </c>
      <c r="AA46" s="6">
        <f>'Key Variables'!$J$11/12</f>
        <v>6250</v>
      </c>
      <c r="AB46" s="6">
        <f>'Key Variables'!$J$11/12</f>
        <v>6250</v>
      </c>
      <c r="AC46" s="6">
        <f>'Key Variables'!$J$11/12</f>
        <v>6250</v>
      </c>
      <c r="AD46" s="6">
        <f>'Key Variables'!$J$11/12</f>
        <v>6250</v>
      </c>
      <c r="AE46" s="6">
        <f>'Key Variables'!$J$11/12</f>
        <v>6250</v>
      </c>
      <c r="AF46" s="6">
        <f>'Key Variables'!$J$11/12</f>
        <v>6250</v>
      </c>
      <c r="AG46" s="6">
        <f>'Key Variables'!$J$11/12</f>
        <v>6250</v>
      </c>
      <c r="AH46" s="6">
        <f>'Key Variables'!$J$11/12</f>
        <v>6250</v>
      </c>
      <c r="AI46" s="6">
        <f>'Key Variables'!$J$11/12</f>
        <v>6250</v>
      </c>
      <c r="AJ46" s="6">
        <f>'Key Variables'!$J$11/12</f>
        <v>6250</v>
      </c>
      <c r="AK46" s="6">
        <f>'Key Variables'!$J$11/12</f>
        <v>6250</v>
      </c>
      <c r="AL46" s="6">
        <f>'Key Variables'!$K$11/12</f>
        <v>6250</v>
      </c>
      <c r="AM46" s="6">
        <f>'Key Variables'!$K$11/12</f>
        <v>6250</v>
      </c>
      <c r="AN46" s="6">
        <f>'Key Variables'!$K$11/12</f>
        <v>6250</v>
      </c>
      <c r="AO46" s="6">
        <f>'Key Variables'!$K$11/12</f>
        <v>6250</v>
      </c>
      <c r="AP46" s="6">
        <f>'Key Variables'!$K$11/12</f>
        <v>6250</v>
      </c>
      <c r="AQ46" s="6">
        <f>'Key Variables'!$K$11/12</f>
        <v>6250</v>
      </c>
      <c r="AR46" s="6">
        <f>'Key Variables'!$K$11/12</f>
        <v>6250</v>
      </c>
      <c r="AS46" s="6">
        <f>'Key Variables'!$K$11/12</f>
        <v>6250</v>
      </c>
      <c r="AT46" s="6">
        <f>'Key Variables'!$K$11/12</f>
        <v>6250</v>
      </c>
      <c r="AU46" s="6">
        <f>'Key Variables'!$K$11/12</f>
        <v>6250</v>
      </c>
      <c r="AV46" s="6">
        <f>'Key Variables'!$K$11/12</f>
        <v>6250</v>
      </c>
      <c r="AW46" s="6">
        <f>'Key Variables'!$K$11/12</f>
        <v>6250</v>
      </c>
    </row>
    <row r="47" spans="1:51" hidden="1" x14ac:dyDescent="0.2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row>
    <row r="48" spans="1:51" hidden="1" x14ac:dyDescent="0.2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row>
    <row r="49" spans="1:49" hidden="1" x14ac:dyDescent="0.25">
      <c r="A49" s="3" t="s">
        <v>60</v>
      </c>
      <c r="B49" s="6">
        <f>SUM(B23:B28)+SUM(B36:B36)-SUM(B37:B37)-SUM(B39:B46)-SUM(B30:B34)+'O365 Calculations'!B52</f>
        <v>-8773.0034722222208</v>
      </c>
      <c r="C49" s="6">
        <f>SUM(C23:C28)+SUM(C36:C36)-SUM(C37:C37)-SUM(C39:C46)-SUM(C30:C34)+'O365 Calculations'!C52</f>
        <v>-8006.9444444444425</v>
      </c>
      <c r="D49" s="6">
        <f>SUM(D23:D28)+SUM(D36:D36)-SUM(D37:D37)-SUM(D39:D46)-SUM(D30:D34)+'O365 Calculations'!D52</f>
        <v>-7240.8854166666652</v>
      </c>
      <c r="E49" s="6">
        <f>SUM(E23:E28)+SUM(E36:E36)-SUM(E37:E37)-SUM(E39:E46)-SUM(E30:E34)+'O365 Calculations'!E52</f>
        <v>-6474.826388888886</v>
      </c>
      <c r="F49" s="6">
        <f>SUM(F23:F28)+SUM(F36:F36)-SUM(F37:F37)-SUM(F39:F46)-SUM(F30:F34)+'O365 Calculations'!F52</f>
        <v>-5708.7673611111086</v>
      </c>
      <c r="G49" s="6">
        <f>SUM(G23:G28)+SUM(G36:G36)-SUM(G37:G37)-SUM(G39:G46)-SUM(G30:G34)+'O365 Calculations'!G52</f>
        <v>-4942.7083333333321</v>
      </c>
      <c r="H49" s="6">
        <f>SUM(H23:H28)+SUM(H36:H36)-SUM(H37:H37)-SUM(H39:H46)-SUM(H30:H34)+'O365 Calculations'!H52</f>
        <v>-4158.4201388888869</v>
      </c>
      <c r="I49" s="6">
        <f>SUM(I23:I28)+SUM(I36:I36)-SUM(I37:I37)-SUM(I39:I46)-SUM(I30:I34)+'O365 Calculations'!I52</f>
        <v>-3374.1319444444434</v>
      </c>
      <c r="J49" s="6">
        <f>SUM(J23:J28)+SUM(J36:J36)-SUM(J37:J37)-SUM(J39:J46)-SUM(J30:J34)+'O365 Calculations'!J52</f>
        <v>-2589.8437500000018</v>
      </c>
      <c r="K49" s="6">
        <f>SUM(K23:K28)+SUM(K36:K36)-SUM(K37:K37)-SUM(K39:K46)-SUM(K30:K34)+'O365 Calculations'!K52</f>
        <v>-1805.5555555555584</v>
      </c>
      <c r="L49" s="6">
        <f>SUM(L23:L28)+SUM(L36:L36)-SUM(L37:L37)-SUM(L39:L46)-SUM(L30:L34)+'O365 Calculations'!L52</f>
        <v>-1021.2673611111077</v>
      </c>
      <c r="M49" s="6">
        <f>SUM(M23:M28)+SUM(M36:M36)-SUM(M37:M37)-SUM(M39:M46)-SUM(M30:M34)+'O365 Calculations'!M52</f>
        <v>-236.97916666666788</v>
      </c>
      <c r="N49" s="6">
        <f>SUM(N23:N28)+SUM(N36:N36)-SUM(N37:N37)-SUM(N39:N46)-SUM(N30:N34)+'O365 Calculations'!N52</f>
        <v>-5871.7447916666715</v>
      </c>
      <c r="O49" s="6">
        <f>SUM(O23:O28)+SUM(O36:O36)-SUM(O37:O37)-SUM(O39:O46)-SUM(O30:O34)+'O365 Calculations'!O52</f>
        <v>-4321.3975694444489</v>
      </c>
      <c r="P49" s="6">
        <f>SUM(P23:P28)+SUM(P36:P36)-SUM(P37:P37)-SUM(P39:P46)-SUM(P30:P34)+'O365 Calculations'!P52</f>
        <v>-2771.0503472222299</v>
      </c>
      <c r="Q49" s="6">
        <f>SUM(Q23:Q28)+SUM(Q36:Q36)-SUM(Q37:Q37)-SUM(Q39:Q46)-SUM(Q30:Q34)+'O365 Calculations'!Q52</f>
        <v>-1220.7031250000073</v>
      </c>
      <c r="R49" s="6">
        <f>SUM(R23:R28)+SUM(R36:R36)-SUM(R37:R37)-SUM(R39:R46)-SUM(R30:R34)+'O365 Calculations'!R52</f>
        <v>329.64409722222263</v>
      </c>
      <c r="S49" s="6">
        <f>SUM(S23:S28)+SUM(S36:S36)-SUM(S37:S37)-SUM(S39:S46)-SUM(S30:S34)+'O365 Calculations'!S52</f>
        <v>1879.991319444438</v>
      </c>
      <c r="T49" s="6">
        <f>SUM(T23:T28)+SUM(T36:T36)-SUM(T37:T37)-SUM(T39:T46)-SUM(T30:T34)+'O365 Calculations'!T52</f>
        <v>3448.5677083333285</v>
      </c>
      <c r="U49" s="6">
        <f>SUM(U23:U28)+SUM(U36:U36)-SUM(U37:U37)-SUM(U39:U46)-SUM(U30:U34)+'O365 Calculations'!U52</f>
        <v>5017.144097222219</v>
      </c>
      <c r="V49" s="6">
        <f>SUM(V23:V28)+SUM(V36:V36)-SUM(V37:V37)-SUM(V39:V46)-SUM(V30:V34)+'O365 Calculations'!V52</f>
        <v>6585.7204861111095</v>
      </c>
      <c r="W49" s="6">
        <f>SUM(W23:W28)+SUM(W36:W36)-SUM(W37:W37)-SUM(W39:W46)-SUM(W30:W34)+'O365 Calculations'!W52</f>
        <v>8154.2968749999927</v>
      </c>
      <c r="X49" s="6">
        <f>SUM(X23:X28)+SUM(X36:X36)-SUM(X37:X37)-SUM(X39:X46)-SUM(X30:X34)+'O365 Calculations'!X52</f>
        <v>9722.8732638888905</v>
      </c>
      <c r="Y49" s="6">
        <f>SUM(Y23:Y28)+SUM(Y36:Y36)-SUM(Y37:Y37)-SUM(Y39:Y46)-SUM(Y30:Y34)+'O365 Calculations'!Y52</f>
        <v>11291.449652777788</v>
      </c>
      <c r="Z49" s="6">
        <f>SUM(Z23:Z28)+SUM(Z36:Z36)-SUM(Z37:Z37)-SUM(Z39:Z46)-SUM(Z30:Z34)+'O365 Calculations'!Z52</f>
        <v>5819.0104166666715</v>
      </c>
      <c r="AA49" s="6">
        <f>SUM(AA23:AA28)+SUM(AA36:AA36)-SUM(AA37:AA37)-SUM(AA39:AA46)-SUM(AA30:AA34)+'O365 Calculations'!AA52</f>
        <v>8153.6458333333358</v>
      </c>
      <c r="AB49" s="6">
        <f>SUM(AB23:AB28)+SUM(AB36:AB36)-SUM(AB37:AB37)-SUM(AB39:AB46)-SUM(AB30:AB34)+'O365 Calculations'!AB52</f>
        <v>10488.28125</v>
      </c>
      <c r="AC49" s="6">
        <f>SUM(AC23:AC28)+SUM(AC36:AC36)-SUM(AC37:AC37)-SUM(AC39:AC46)-SUM(AC30:AC34)+'O365 Calculations'!AC52</f>
        <v>12822.916666666657</v>
      </c>
      <c r="AD49" s="6">
        <f>SUM(AD23:AD28)+SUM(AD36:AD36)-SUM(AD37:AD37)-SUM(AD39:AD46)-SUM(AD30:AD34)+'O365 Calculations'!AD52</f>
        <v>15157.552083333336</v>
      </c>
      <c r="AE49" s="6">
        <f>SUM(AE23:AE28)+SUM(AE36:AE36)-SUM(AE37:AE37)-SUM(AE39:AE46)-SUM(AE30:AE34)+'O365 Calculations'!AE52</f>
        <v>17492.1875</v>
      </c>
      <c r="AF49" s="6">
        <f>SUM(AF23:AF28)+SUM(AF36:AF36)-SUM(AF37:AF37)-SUM(AF39:AF46)-SUM(AF30:AF34)+'O365 Calculations'!AF52</f>
        <v>19845.052083333328</v>
      </c>
      <c r="AG49" s="6">
        <f>SUM(AG23:AG28)+SUM(AG36:AG36)-SUM(AG37:AG37)-SUM(AG39:AG46)-SUM(AG30:AG34)+'O365 Calculations'!AG52</f>
        <v>22197.916666666672</v>
      </c>
      <c r="AH49" s="6">
        <f>SUM(AH23:AH28)+SUM(AH36:AH36)-SUM(AH37:AH37)-SUM(AH39:AH46)-SUM(AH30:AH34)+'O365 Calculations'!AH52</f>
        <v>24550.78125</v>
      </c>
      <c r="AI49" s="6">
        <f>SUM(AI23:AI28)+SUM(AI36:AI36)-SUM(AI37:AI37)-SUM(AI39:AI46)-SUM(AI30:AI34)+'O365 Calculations'!AI52</f>
        <v>26903.645833333328</v>
      </c>
      <c r="AJ49" s="6">
        <f>SUM(AJ23:AJ28)+SUM(AJ36:AJ36)-SUM(AJ37:AJ37)-SUM(AJ39:AJ46)-SUM(AJ30:AJ34)+'O365 Calculations'!AJ52</f>
        <v>29256.510416666657</v>
      </c>
      <c r="AK49" s="6">
        <f>SUM(AK23:AK28)+SUM(AK36:AK36)-SUM(AK37:AK37)-SUM(AK39:AK46)-SUM(AK30:AK34)+'O365 Calculations'!AK52</f>
        <v>31609.375000000015</v>
      </c>
      <c r="AL49" s="6">
        <f>SUM(AL23:AL28)+SUM(AL36:AL36)-SUM(AL37:AL37)-SUM(AL39:AL46)-SUM(AL30:AL34)+'O365 Calculations'!AL52</f>
        <v>29596.137152777781</v>
      </c>
      <c r="AM49" s="6">
        <f>SUM(AM23:AM28)+SUM(AM36:AM36)-SUM(AM37:AM37)-SUM(AM39:AM46)-SUM(AM30:AM34)+'O365 Calculations'!AM52</f>
        <v>32715.060763888905</v>
      </c>
      <c r="AN49" s="6">
        <f>SUM(AN23:AN28)+SUM(AN36:AN36)-SUM(AN37:AN37)-SUM(AN39:AN46)-SUM(AN30:AN34)+'O365 Calculations'!AN52</f>
        <v>35833.984375000015</v>
      </c>
      <c r="AO49" s="6">
        <f>SUM(AO23:AO28)+SUM(AO36:AO36)-SUM(AO37:AO37)-SUM(AO39:AO46)-SUM(AO30:AO34)+'O365 Calculations'!AO52</f>
        <v>38952.907986111139</v>
      </c>
      <c r="AP49" s="6">
        <f>SUM(AP23:AP28)+SUM(AP36:AP36)-SUM(AP37:AP37)-SUM(AP39:AP46)-SUM(AP30:AP34)+'O365 Calculations'!AP52</f>
        <v>42071.831597222204</v>
      </c>
      <c r="AQ49" s="6">
        <f>SUM(AQ23:AQ28)+SUM(AQ36:AQ36)-SUM(AQ37:AQ37)-SUM(AQ39:AQ46)-SUM(AQ30:AQ34)+'O365 Calculations'!AQ52</f>
        <v>45190.755208333328</v>
      </c>
      <c r="AR49" s="6">
        <f>SUM(AR23:AR28)+SUM(AR36:AR36)-SUM(AR37:AR37)-SUM(AR39:AR46)-SUM(AR30:AR34)+'O365 Calculations'!AR52</f>
        <v>48327.907986111095</v>
      </c>
      <c r="AS49" s="6">
        <f>SUM(AS23:AS28)+SUM(AS36:AS36)-SUM(AS37:AS37)-SUM(AS39:AS46)-SUM(AS30:AS34)+'O365 Calculations'!AS52</f>
        <v>51465.060763888891</v>
      </c>
      <c r="AT49" s="6">
        <f>SUM(AT23:AT28)+SUM(AT36:AT36)-SUM(AT37:AT37)-SUM(AT39:AT46)-SUM(AT30:AT34)+'O365 Calculations'!AT52</f>
        <v>54602.213541666599</v>
      </c>
      <c r="AU49" s="6">
        <f>SUM(AU23:AU28)+SUM(AU36:AU36)-SUM(AU37:AU37)-SUM(AU39:AU46)-SUM(AU30:AU34)+'O365 Calculations'!AU52</f>
        <v>57739.366319444409</v>
      </c>
      <c r="AV49" s="6">
        <f>SUM(AV23:AV28)+SUM(AV36:AV36)-SUM(AV37:AV37)-SUM(AV39:AV46)-SUM(AV30:AV34)+'O365 Calculations'!AV52</f>
        <v>60876.51909722219</v>
      </c>
      <c r="AW49" s="6">
        <f>SUM(AW23:AW28)+SUM(AW36:AW36)-SUM(AW37:AW37)-SUM(AW39:AW46)-SUM(AW30:AW34)+'O365 Calculations'!AW52</f>
        <v>64013.671874999942</v>
      </c>
    </row>
    <row r="50" spans="1:49" hidden="1" x14ac:dyDescent="0.25">
      <c r="A50" s="3" t="s">
        <v>26</v>
      </c>
      <c r="B50" s="6">
        <f>B49</f>
        <v>-8773.0034722222208</v>
      </c>
      <c r="C50" s="6">
        <f>C49+B50</f>
        <v>-16779.947916666664</v>
      </c>
      <c r="D50" s="6">
        <f>D49+C50</f>
        <v>-24020.833333333328</v>
      </c>
      <c r="E50" s="6">
        <f>E49+D50</f>
        <v>-30495.659722222215</v>
      </c>
      <c r="F50" s="6">
        <f>F49+E50</f>
        <v>-36204.427083333321</v>
      </c>
      <c r="G50" s="6">
        <f>G49+F50</f>
        <v>-41147.135416666657</v>
      </c>
      <c r="H50" s="6">
        <f t="shared" ref="H50:AW50" si="5">H49+G50</f>
        <v>-45305.555555555547</v>
      </c>
      <c r="I50" s="6">
        <f t="shared" si="5"/>
        <v>-48679.687499999993</v>
      </c>
      <c r="J50" s="6">
        <f t="shared" si="5"/>
        <v>-51269.531249999993</v>
      </c>
      <c r="K50" s="6">
        <f t="shared" si="5"/>
        <v>-53075.086805555547</v>
      </c>
      <c r="L50" s="6">
        <f t="shared" si="5"/>
        <v>-54096.354166666657</v>
      </c>
      <c r="M50" s="6">
        <f t="shared" si="5"/>
        <v>-54333.333333333328</v>
      </c>
      <c r="N50" s="6">
        <f t="shared" si="5"/>
        <v>-60205.078125</v>
      </c>
      <c r="O50" s="6">
        <f t="shared" si="5"/>
        <v>-64526.475694444453</v>
      </c>
      <c r="P50" s="6">
        <f t="shared" si="5"/>
        <v>-67297.526041666686</v>
      </c>
      <c r="Q50" s="6">
        <f t="shared" si="5"/>
        <v>-68518.229166666686</v>
      </c>
      <c r="R50" s="6">
        <f t="shared" si="5"/>
        <v>-68188.585069444467</v>
      </c>
      <c r="S50" s="6">
        <f t="shared" si="5"/>
        <v>-66308.593750000029</v>
      </c>
      <c r="T50" s="6">
        <f t="shared" si="5"/>
        <v>-62860.026041666701</v>
      </c>
      <c r="U50" s="6">
        <f t="shared" si="5"/>
        <v>-57842.881944444482</v>
      </c>
      <c r="V50" s="6">
        <f t="shared" si="5"/>
        <v>-51257.161458333372</v>
      </c>
      <c r="W50" s="6">
        <f t="shared" si="5"/>
        <v>-43102.864583333379</v>
      </c>
      <c r="X50" s="6">
        <f t="shared" si="5"/>
        <v>-33379.991319444489</v>
      </c>
      <c r="Y50" s="6">
        <f t="shared" si="5"/>
        <v>-22088.541666666701</v>
      </c>
      <c r="Z50" s="6">
        <f t="shared" si="5"/>
        <v>-16269.531250000029</v>
      </c>
      <c r="AA50" s="6">
        <f t="shared" si="5"/>
        <v>-8115.8854166666933</v>
      </c>
      <c r="AB50" s="6">
        <f t="shared" si="5"/>
        <v>2372.3958333333067</v>
      </c>
      <c r="AC50" s="6">
        <f t="shared" si="5"/>
        <v>15195.312499999964</v>
      </c>
      <c r="AD50" s="6">
        <f t="shared" si="5"/>
        <v>30352.864583333299</v>
      </c>
      <c r="AE50" s="6">
        <f t="shared" si="5"/>
        <v>47845.052083333299</v>
      </c>
      <c r="AF50" s="6">
        <f t="shared" si="5"/>
        <v>67690.104166666628</v>
      </c>
      <c r="AG50" s="6">
        <f t="shared" si="5"/>
        <v>89888.020833333299</v>
      </c>
      <c r="AH50" s="6">
        <f t="shared" si="5"/>
        <v>114438.8020833333</v>
      </c>
      <c r="AI50" s="6">
        <f t="shared" si="5"/>
        <v>141342.44791666663</v>
      </c>
      <c r="AJ50" s="6">
        <f t="shared" si="5"/>
        <v>170598.95833333328</v>
      </c>
      <c r="AK50" s="6">
        <f>AK49+AJ50</f>
        <v>202208.33333333331</v>
      </c>
      <c r="AL50" s="6">
        <f t="shared" si="5"/>
        <v>231804.47048611109</v>
      </c>
      <c r="AM50" s="6">
        <f t="shared" si="5"/>
        <v>264519.53125</v>
      </c>
      <c r="AN50" s="6">
        <f t="shared" si="5"/>
        <v>300353.515625</v>
      </c>
      <c r="AO50" s="6">
        <f t="shared" si="5"/>
        <v>339306.42361111112</v>
      </c>
      <c r="AP50" s="6">
        <f t="shared" si="5"/>
        <v>381378.25520833331</v>
      </c>
      <c r="AQ50" s="6">
        <f t="shared" si="5"/>
        <v>426569.01041666663</v>
      </c>
      <c r="AR50" s="6">
        <f t="shared" si="5"/>
        <v>474896.91840277775</v>
      </c>
      <c r="AS50" s="6">
        <f t="shared" si="5"/>
        <v>526361.97916666663</v>
      </c>
      <c r="AT50" s="6">
        <f t="shared" si="5"/>
        <v>580964.19270833326</v>
      </c>
      <c r="AU50" s="6">
        <f t="shared" si="5"/>
        <v>638703.55902777764</v>
      </c>
      <c r="AV50" s="6">
        <f t="shared" si="5"/>
        <v>699580.07812499977</v>
      </c>
      <c r="AW50" s="6">
        <f t="shared" si="5"/>
        <v>763593.74999999977</v>
      </c>
    </row>
    <row r="51" spans="1:49" hidden="1" x14ac:dyDescent="0.2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row>
    <row r="52" spans="1:49" hidden="1" x14ac:dyDescent="0.25">
      <c r="A52" s="9" t="s">
        <v>17</v>
      </c>
      <c r="B52" s="10">
        <v>1</v>
      </c>
      <c r="C52" s="10">
        <v>2</v>
      </c>
      <c r="D52" s="10">
        <v>3</v>
      </c>
      <c r="E52" s="10">
        <v>4</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hidden="1" x14ac:dyDescent="0.25">
      <c r="H53" s="6"/>
    </row>
    <row r="54" spans="1:49" hidden="1" x14ac:dyDescent="0.25">
      <c r="A54" s="3" t="s">
        <v>27</v>
      </c>
      <c r="B54" s="6">
        <f>SUM(B36:M36)</f>
        <v>0</v>
      </c>
      <c r="C54" s="6">
        <f>SUM(N36:Y36)</f>
        <v>0</v>
      </c>
      <c r="D54" s="6">
        <f>SUM(Z36:AK36)</f>
        <v>0</v>
      </c>
      <c r="E54" s="6">
        <f>SUM(AL36:AW36)</f>
        <v>0</v>
      </c>
      <c r="G54" s="66" t="s">
        <v>130</v>
      </c>
      <c r="H54" s="52">
        <f>IRR(B49:AW49)</f>
        <v>8.3856694456242886E-2</v>
      </c>
    </row>
    <row r="55" spans="1:49" hidden="1" x14ac:dyDescent="0.25">
      <c r="A55" s="12"/>
      <c r="B55" s="6"/>
      <c r="C55" s="6"/>
      <c r="D55" s="6"/>
      <c r="E55" s="6"/>
      <c r="G55" s="6"/>
      <c r="H55" s="6"/>
    </row>
    <row r="56" spans="1:49" hidden="1" x14ac:dyDescent="0.25">
      <c r="A56" s="13" t="s">
        <v>139</v>
      </c>
      <c r="B56" s="6">
        <f>SUM(B23:M23)</f>
        <v>49999.999999999993</v>
      </c>
      <c r="C56" s="6">
        <f>SUM(N23:Y23)</f>
        <v>99999.999999999985</v>
      </c>
      <c r="D56" s="6">
        <f>SUM(Z23:AK23)</f>
        <v>150000</v>
      </c>
      <c r="E56" s="6">
        <f>SUM(AL23:AW23)</f>
        <v>199999.99999999997</v>
      </c>
      <c r="G56" s="6"/>
      <c r="H56" s="6"/>
    </row>
    <row r="57" spans="1:49" hidden="1" x14ac:dyDescent="0.25">
      <c r="A57" s="13" t="s">
        <v>140</v>
      </c>
      <c r="B57" s="6">
        <f>SUM(B24:M24)</f>
        <v>3385.416666666667</v>
      </c>
      <c r="C57" s="6">
        <f>SUM(N24:Y24)</f>
        <v>13020.833333333334</v>
      </c>
      <c r="D57" s="6">
        <f>SUM(Z24:AK24)</f>
        <v>28906.250000000004</v>
      </c>
      <c r="E57" s="6">
        <f>SUM(AL24:AW24)</f>
        <v>51041.666666666657</v>
      </c>
      <c r="G57" s="6"/>
      <c r="H57" s="6"/>
    </row>
    <row r="58" spans="1:49" hidden="1" x14ac:dyDescent="0.25">
      <c r="A58" s="13" t="s">
        <v>146</v>
      </c>
      <c r="B58" s="6">
        <f>SUM(B25:M25)</f>
        <v>121875</v>
      </c>
      <c r="C58" s="6">
        <f>SUM(N25:Y25)</f>
        <v>468750</v>
      </c>
      <c r="D58" s="6">
        <f>SUM(Z25:AK25)</f>
        <v>1040625.0000000001</v>
      </c>
      <c r="E58" s="6">
        <f>SUM(AL25:AW25)</f>
        <v>1837500</v>
      </c>
      <c r="G58" s="6"/>
      <c r="H58" s="6"/>
    </row>
    <row r="59" spans="1:49" hidden="1" x14ac:dyDescent="0.25">
      <c r="A59" s="13" t="s">
        <v>147</v>
      </c>
      <c r="B59" s="6">
        <f>SUM(B26:M26)</f>
        <v>1093.75</v>
      </c>
      <c r="C59" s="6">
        <f>SUM(N26:Y26)</f>
        <v>8906.25</v>
      </c>
      <c r="D59" s="6">
        <f>SUM(Z26:AK26)</f>
        <v>24218.750000000004</v>
      </c>
      <c r="E59" s="6">
        <f>SUM(AL26:AW26)</f>
        <v>47031.25</v>
      </c>
      <c r="G59" s="6"/>
      <c r="H59" s="6"/>
    </row>
    <row r="60" spans="1:49" hidden="1" x14ac:dyDescent="0.25">
      <c r="A60" s="13" t="s">
        <v>148</v>
      </c>
      <c r="B60" s="6">
        <f>SUM(B27:M28)</f>
        <v>13541.666666666668</v>
      </c>
      <c r="C60" s="6">
        <f>SUM(N27:Y28)</f>
        <v>52083.333333333336</v>
      </c>
      <c r="D60" s="6">
        <f>SUM(Z27:AK28)</f>
        <v>115625.00000000001</v>
      </c>
      <c r="E60" s="6">
        <f>SUM(AL27:AW28)</f>
        <v>204166.66666666663</v>
      </c>
      <c r="G60" s="6"/>
      <c r="H60" s="6"/>
    </row>
    <row r="61" spans="1:49" hidden="1" x14ac:dyDescent="0.25">
      <c r="A61" s="24"/>
      <c r="B61" s="6"/>
      <c r="C61" s="6"/>
      <c r="D61" s="6"/>
      <c r="E61" s="6"/>
      <c r="G61" s="6"/>
      <c r="H61" s="6"/>
    </row>
    <row r="62" spans="1:49" hidden="1" x14ac:dyDescent="0.25">
      <c r="A62" s="13" t="s">
        <v>86</v>
      </c>
      <c r="B62" s="6">
        <f>SUM(B30:M30)</f>
        <v>32499.999999999996</v>
      </c>
      <c r="C62" s="6">
        <f>SUM(N30:Y30)</f>
        <v>64999.999999999993</v>
      </c>
      <c r="D62" s="6">
        <f>SUM(Z30:AK30)</f>
        <v>97500</v>
      </c>
      <c r="E62" s="6">
        <f>SUM(AL30:AW30)</f>
        <v>129999.99999999999</v>
      </c>
      <c r="G62" s="6"/>
      <c r="H62" s="6"/>
    </row>
    <row r="63" spans="1:49" hidden="1" x14ac:dyDescent="0.25">
      <c r="A63" s="13" t="s">
        <v>150</v>
      </c>
      <c r="B63" s="6">
        <f>SUM(B31:M31)</f>
        <v>1184.8958333333333</v>
      </c>
      <c r="C63" s="6">
        <f>SUM(N31:Y31)</f>
        <v>4557.2916666666661</v>
      </c>
      <c r="D63" s="6">
        <f>SUM(Z31:AK31)</f>
        <v>10117.1875</v>
      </c>
      <c r="E63" s="6">
        <f>SUM(AL31:AW31)</f>
        <v>17864.583333333328</v>
      </c>
      <c r="G63" s="6"/>
      <c r="H63" s="6"/>
    </row>
    <row r="64" spans="1:49" hidden="1" x14ac:dyDescent="0.25">
      <c r="A64" s="13" t="s">
        <v>151</v>
      </c>
      <c r="B64" s="6">
        <f>SUM(B32:M32)</f>
        <v>67031.25</v>
      </c>
      <c r="C64" s="6">
        <f>SUM(N32:Y32)</f>
        <v>257812.5</v>
      </c>
      <c r="D64" s="6">
        <f>SUM(Z32:AK32)</f>
        <v>572343.75000000012</v>
      </c>
      <c r="E64" s="6">
        <f>SUM(AL32:AW32)</f>
        <v>1010625</v>
      </c>
      <c r="G64" s="6"/>
      <c r="H64" s="6"/>
    </row>
    <row r="65" spans="1:49" hidden="1" x14ac:dyDescent="0.25">
      <c r="A65" s="13" t="s">
        <v>152</v>
      </c>
      <c r="B65" s="6">
        <f>SUM(B33:M33)</f>
        <v>710.9375</v>
      </c>
      <c r="C65" s="6">
        <f>SUM(N33:Y33)</f>
        <v>5789.0625</v>
      </c>
      <c r="D65" s="6">
        <f>SUM(Z33:AK33)</f>
        <v>15742.187500000002</v>
      </c>
      <c r="E65" s="6">
        <f>SUM(AL33:AW33)</f>
        <v>30570.3125</v>
      </c>
      <c r="G65" s="6"/>
      <c r="H65" s="6"/>
    </row>
    <row r="66" spans="1:49" hidden="1" x14ac:dyDescent="0.25">
      <c r="A66" s="13" t="s">
        <v>153</v>
      </c>
      <c r="B66" s="6">
        <f>SUM(B34:M34)</f>
        <v>10833.333333333332</v>
      </c>
      <c r="C66" s="6">
        <f>SUM(N34:Y34)</f>
        <v>41666.666666666672</v>
      </c>
      <c r="D66" s="6">
        <f>SUM(Z34:AK34)</f>
        <v>92500</v>
      </c>
      <c r="E66" s="6">
        <f>SUM(AL34:AW34)</f>
        <v>163333.33333333331</v>
      </c>
      <c r="G66" s="6"/>
      <c r="H66" s="6"/>
    </row>
    <row r="67" spans="1:49" hidden="1" x14ac:dyDescent="0.25">
      <c r="A67" s="13"/>
      <c r="B67" s="6"/>
      <c r="C67" s="6"/>
      <c r="D67" s="6"/>
      <c r="E67" s="6"/>
      <c r="G67" s="6"/>
      <c r="H67" s="6"/>
    </row>
    <row r="68" spans="1:49" hidden="1" x14ac:dyDescent="0.25">
      <c r="A68" s="3" t="s">
        <v>28</v>
      </c>
      <c r="B68" s="6">
        <f>SUM(B37:M37)</f>
        <v>0</v>
      </c>
      <c r="C68" s="6">
        <f>SUM(N37:Y37)</f>
        <v>0</v>
      </c>
      <c r="D68" s="6">
        <f>SUM(Z37:AK37)</f>
        <v>0</v>
      </c>
      <c r="E68" s="6">
        <f>SUM(AL37:AW37)</f>
        <v>0</v>
      </c>
      <c r="G68" s="6"/>
      <c r="H68" s="6"/>
    </row>
    <row r="69" spans="1:49" hidden="1" x14ac:dyDescent="0.25">
      <c r="H69" s="6"/>
    </row>
    <row r="70" spans="1:49" hidden="1" x14ac:dyDescent="0.25">
      <c r="A70" s="3" t="s">
        <v>29</v>
      </c>
      <c r="B70" s="6">
        <f>SUM(B39:M39)+SUM(B44:M44)</f>
        <v>0</v>
      </c>
      <c r="C70" s="6">
        <f>SUM(N39:Y39)+SUM(N44:Y44)</f>
        <v>0</v>
      </c>
      <c r="D70" s="6">
        <f>SUM(Z39:AK39)+SUM(Z44:AK44)</f>
        <v>0</v>
      </c>
      <c r="E70" s="6">
        <f>SUM(AL39:AW39)+SUM(AL44:AW44)</f>
        <v>0</v>
      </c>
      <c r="G70" s="6"/>
      <c r="H70" s="6"/>
    </row>
    <row r="71" spans="1:49" hidden="1" x14ac:dyDescent="0.25">
      <c r="A71" s="3" t="s">
        <v>30</v>
      </c>
      <c r="B71" s="6">
        <f>SUM(B40:M40)+SUM(B45:M45)</f>
        <v>0</v>
      </c>
      <c r="C71" s="6">
        <f>SUM(N40:Y40)+SUM(N45:Y45)</f>
        <v>0</v>
      </c>
      <c r="D71" s="6">
        <f>SUM(Z40:AK40)+SUM(Z45:AK45)</f>
        <v>0</v>
      </c>
      <c r="E71" s="6">
        <f>SUM(AL40:AW40)+SUM(AL45:AW45)</f>
        <v>0</v>
      </c>
      <c r="G71" s="6"/>
      <c r="H71" s="6"/>
    </row>
    <row r="72" spans="1:49" hidden="1" x14ac:dyDescent="0.25"/>
    <row r="73" spans="1:49" hidden="1" x14ac:dyDescent="0.25">
      <c r="B73" s="6">
        <f>SUM(B54:B59)-SUM(B62:B68)</f>
        <v>64093.75</v>
      </c>
      <c r="C73" s="6">
        <f>SUM(C54:C59)-SUM(C62:C68)</f>
        <v>215851.56249999994</v>
      </c>
      <c r="D73" s="6">
        <f>SUM(D54:D59)-SUM(D62:D68)</f>
        <v>455546.87499999988</v>
      </c>
      <c r="E73" s="6">
        <f>SUM(E54:E59)-SUM(E62:E68)</f>
        <v>783179.6875</v>
      </c>
    </row>
    <row r="74" spans="1:49" hidden="1" x14ac:dyDescent="0.25"/>
    <row r="75" spans="1:49" hidden="1" x14ac:dyDescent="0.25">
      <c r="B75" s="6">
        <f>B73-SUM(B70:B71)</f>
        <v>64093.75</v>
      </c>
      <c r="C75" s="6">
        <f>C73-SUM(C70:C71)</f>
        <v>215851.56249999994</v>
      </c>
      <c r="D75" s="6">
        <f>D73-SUM(D70:D71)</f>
        <v>455546.87499999988</v>
      </c>
      <c r="E75" s="6">
        <f>E73-SUM(E70:E71)</f>
        <v>783179.6875</v>
      </c>
    </row>
    <row r="76" spans="1:49" hidden="1" x14ac:dyDescent="0.25"/>
    <row r="77" spans="1:49" x14ac:dyDescent="0.2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row>
    <row r="78" spans="1:49" x14ac:dyDescent="0.2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row>
  </sheetData>
  <sheetProtection algorithmName="SHA-512" hashValue="abi61u4QEs52BWDMdcOjCKuF/YE5tmHDQ10Tux2RzsAt8Jz+FqeR1kiqBEaH6+IDxawUdguCeW+RE0kcuib/dA==" saltValue="VJjbrBoUZm0GT3qz7Tylyw==" spinCount="100000" sheet="1" objects="1" scenarios="1"/>
  <mergeCells count="1">
    <mergeCell ref="B1:AW1"/>
  </mergeCells>
  <pageMargins left="0.70866141732283472" right="0.70866141732283472" top="0.74803149606299213" bottom="0.74803149606299213" header="0.31496062992125984" footer="0.31496062992125984"/>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A6460F8CA3D646A1BE767F90F283D2" ma:contentTypeVersion="2" ma:contentTypeDescription="Create a new document." ma:contentTypeScope="" ma:versionID="857a4a91ba839ae9ab014d1331b523e1">
  <xsd:schema xmlns:xsd="http://www.w3.org/2001/XMLSchema" xmlns:xs="http://www.w3.org/2001/XMLSchema" xmlns:p="http://schemas.microsoft.com/office/2006/metadata/properties" xmlns:ns2="ce7f45f4-ea17-414a-988a-8a25b6d77461" targetNamespace="http://schemas.microsoft.com/office/2006/metadata/properties" ma:root="true" ma:fieldsID="86ff228edc14a6e73740418b84145c0d" ns2:_="">
    <xsd:import namespace="ce7f45f4-ea17-414a-988a-8a25b6d7746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7f45f4-ea17-414a-988a-8a25b6d774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4E40D2-7047-43C5-9C82-AF404C707F3E}"/>
</file>

<file path=customXml/itemProps2.xml><?xml version="1.0" encoding="utf-8"?>
<ds:datastoreItem xmlns:ds="http://schemas.openxmlformats.org/officeDocument/2006/customXml" ds:itemID="{A1D8143E-27C4-470E-9E82-8F5A2F34C0D8}"/>
</file>

<file path=customXml/itemProps3.xml><?xml version="1.0" encoding="utf-8"?>
<ds:datastoreItem xmlns:ds="http://schemas.openxmlformats.org/officeDocument/2006/customXml" ds:itemID="{B6D4BCDC-9DF1-4DDC-AE07-CC817EFAB39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Services Overview &amp; Costs</vt:lpstr>
      <vt:lpstr>Definitions</vt:lpstr>
      <vt:lpstr>Key Variables</vt:lpstr>
      <vt:lpstr>"Fine Tune" Variables</vt:lpstr>
      <vt:lpstr>P&amp;L Impact</vt:lpstr>
      <vt:lpstr>Customers</vt:lpstr>
      <vt:lpstr>Cash Flow</vt:lpstr>
      <vt:lpstr>Resourcing</vt:lpstr>
      <vt:lpstr>Core Calculations</vt:lpstr>
      <vt:lpstr>O365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Willmer</dc:creator>
  <dc:description>© 1 ClickFactory 2014. All rights reserved.</dc:description>
  <cp:lastModifiedBy>I-Chin Maeda</cp:lastModifiedBy>
  <cp:lastPrinted>2011-05-31T20:13:44Z</cp:lastPrinted>
  <dcterms:created xsi:type="dcterms:W3CDTF">2010-11-09T18:01:08Z</dcterms:created>
  <dcterms:modified xsi:type="dcterms:W3CDTF">2016-09-21T18:01:56Z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0x010100BAA6460F8CA3D646A1BE767F90F283D2</vt:lpwstr>
  </property>
</Properties>
</file>